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IX/"/>
    </mc:Choice>
  </mc:AlternateContent>
  <xr:revisionPtr revIDLastSave="11" documentId="13_ncr:1_{5F78F056-DD1B-4250-82E6-B759999EFA6A}" xr6:coauthVersionLast="47" xr6:coauthVersionMax="47" xr10:uidLastSave="{7CCFC976-588E-4966-8A2F-D046D0BAAA26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Passo Fundo" sheetId="4" r:id="rId4"/>
    <sheet name="Desl. Base Passo Fundo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Passo Fundo'!$B$2:$AG$30</definedName>
    <definedName name="_xlnm_Print_Area" localSheetId="11">NA()</definedName>
    <definedName name="_xlnm_Print_Area" localSheetId="4">'Desl. Base Passo Fundo'!$B$2:$M$39</definedName>
    <definedName name="_xlnm_Print_Area" localSheetId="2">'Equipe Técnica'!$B$2:$E$13</definedName>
    <definedName name="_xlnm_Print_Area" localSheetId="10">Unidades!$C$2:$F$19</definedName>
    <definedName name="_xlnm_Print_Area_0" localSheetId="3">'Base Passo Fundo'!$B$2:$AG$30</definedName>
    <definedName name="_xlnm_Print_Area_0" localSheetId="11">NA()</definedName>
    <definedName name="_xlnm_Print_Area_0" localSheetId="4">'Desl. Base Passo Fundo'!$B$2:$M$39</definedName>
    <definedName name="_xlnm_Print_Area_0" localSheetId="2">'Equipe Técnica'!$B$2:$E$13</definedName>
    <definedName name="_xlnm_Print_Area_0" localSheetId="10">Unidades!$C$2:$F$19</definedName>
    <definedName name="_xlnm.Print_Area" localSheetId="3">'Base Passo Fundo'!$B$2:$AW$30</definedName>
    <definedName name="_xlnm.Print_Area" localSheetId="11">BDI!$B$1:$I$40</definedName>
    <definedName name="_xlnm.Print_Area" localSheetId="4">'Desl. Base Passo Fundo'!$B$2:$M$39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8">#REF!</definedName>
    <definedName name="Excel_BuiltIn__FilterDatabase_9_1" localSheetId="5">#REF!</definedName>
    <definedName name="Excel_BuiltIn__FilterDatabase_9_1" localSheetId="7">#REF!</definedName>
    <definedName name="Excel_BuiltIn__FilterDatabase_9_1">#REF!</definedName>
    <definedName name="Excel_BuiltIn_Print_Area" localSheetId="3">'Base Passo Fundo'!$B$2:$AG$30</definedName>
    <definedName name="Excel_BuiltIn_Print_Area" localSheetId="11">NA()</definedName>
    <definedName name="Excel_BuiltIn_Print_Area" localSheetId="10">Unidades!$C$2:$F$19</definedName>
    <definedName name="Print_Area_0" localSheetId="3">'Base Passo Fundo'!$B$2:$AG$31</definedName>
    <definedName name="Print_Area_0" localSheetId="11">NA()</definedName>
    <definedName name="Print_Area_0" localSheetId="4">'Desl. Base Passo Fundo'!$B$2:$M$39</definedName>
    <definedName name="Print_Area_0" localSheetId="2">'Equipe Técnica'!$B$2:$E$13</definedName>
    <definedName name="Print_Area_0" localSheetId="10">Unidades!$C$2:$F$19</definedName>
    <definedName name="Print_Area_0_0" localSheetId="3">'Base Passo Fundo'!$B$2:$AG$30</definedName>
    <definedName name="Print_Area_0_0" localSheetId="11">NA()</definedName>
    <definedName name="Print_Area_0_0" localSheetId="4">'Desl. Base Passo Fundo'!$B$2:$M$39</definedName>
    <definedName name="Print_Area_0_0" localSheetId="2">'Equipe Técnica'!$B$2:$E$13</definedName>
    <definedName name="Print_Area_0_0" localSheetId="10">Unidades!$C$2:$F$19</definedName>
    <definedName name="Print_Area_0_0_0" localSheetId="3">'Base Passo Fundo'!$B$4:$O$31</definedName>
    <definedName name="Print_Area_0_0_0" localSheetId="4">'Desl. Base Passo Fundo'!$B$4:$L$39</definedName>
    <definedName name="Print_Area_0_0_0_0" localSheetId="3">'Base Passo Fundo'!$B$4:$O$31</definedName>
    <definedName name="Print_Area_0_0_0_0" localSheetId="4">'Desl. Base Passo Fundo'!$B$4:$L$39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5" i="19" s="1"/>
  <c r="D11" i="19" s="1"/>
  <c r="I19" i="19"/>
  <c r="I18" i="19"/>
  <c r="I17" i="19"/>
  <c r="I16" i="19"/>
  <c r="I14" i="19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7" i="4"/>
  <c r="Q22" i="5"/>
  <c r="Q23" i="5" s="1"/>
  <c r="Q20" i="5"/>
  <c r="Q21" i="5" s="1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5" i="5"/>
  <c r="C29" i="4"/>
  <c r="I22" i="17"/>
  <c r="I21" i="17"/>
  <c r="I20" i="17"/>
  <c r="I19" i="17"/>
  <c r="D11" i="17" s="1"/>
  <c r="I18" i="17"/>
  <c r="I17" i="17"/>
  <c r="I16" i="17"/>
  <c r="I15" i="17"/>
  <c r="I14" i="17"/>
  <c r="C17" i="16"/>
  <c r="C19" i="16" s="1"/>
  <c r="C16" i="16"/>
  <c r="C18" i="16" s="1"/>
  <c r="B30" i="4"/>
  <c r="P22" i="5" l="1"/>
  <c r="P23" i="5" s="1"/>
  <c r="K22" i="5"/>
  <c r="L22" i="5" s="1"/>
  <c r="O22" i="5" s="1"/>
  <c r="O23" i="5" s="1"/>
  <c r="I22" i="5"/>
  <c r="G22" i="5"/>
  <c r="I20" i="5"/>
  <c r="K20" i="5" s="1"/>
  <c r="L20" i="5" s="1"/>
  <c r="O20" i="5" s="1"/>
  <c r="O21" i="5" s="1"/>
  <c r="E20" i="5"/>
  <c r="G20" i="5" s="1"/>
  <c r="K18" i="5"/>
  <c r="L18" i="5" s="1"/>
  <c r="O18" i="5" s="1"/>
  <c r="O19" i="5" s="1"/>
  <c r="G18" i="5"/>
  <c r="K17" i="5"/>
  <c r="L17" i="5" s="1"/>
  <c r="O17" i="5" s="1"/>
  <c r="G17" i="5"/>
  <c r="K15" i="5"/>
  <c r="L15" i="5" s="1"/>
  <c r="O15" i="5" s="1"/>
  <c r="O16" i="5" s="1"/>
  <c r="I15" i="5"/>
  <c r="E15" i="5"/>
  <c r="G15" i="5" s="1"/>
  <c r="K13" i="5"/>
  <c r="L13" i="5" s="1"/>
  <c r="O13" i="5" s="1"/>
  <c r="O14" i="5" s="1"/>
  <c r="I13" i="5"/>
  <c r="E13" i="5"/>
  <c r="G13" i="5" s="1"/>
  <c r="P11" i="5"/>
  <c r="P12" i="5" s="1"/>
  <c r="I11" i="5"/>
  <c r="K11" i="5" s="1"/>
  <c r="L11" i="5" s="1"/>
  <c r="O11" i="5" s="1"/>
  <c r="O12" i="5" s="1"/>
  <c r="E11" i="5"/>
  <c r="G11" i="5" s="1"/>
  <c r="K9" i="5"/>
  <c r="L9" i="5" s="1"/>
  <c r="O9" i="5" s="1"/>
  <c r="O10" i="5" s="1"/>
  <c r="G9" i="5"/>
  <c r="I7" i="5"/>
  <c r="K7" i="5" s="1"/>
  <c r="L7" i="5" s="1"/>
  <c r="O7" i="5" s="1"/>
  <c r="O8" i="5" s="1"/>
  <c r="E7" i="5"/>
  <c r="G7" i="5" s="1"/>
  <c r="K5" i="5"/>
  <c r="L5" i="5" s="1"/>
  <c r="O5" i="5" s="1"/>
  <c r="O6" i="5" s="1"/>
  <c r="G5" i="5"/>
  <c r="B3" i="14" l="1"/>
  <c r="H7" i="13"/>
  <c r="H8" i="13"/>
  <c r="H12" i="13"/>
  <c r="H17" i="13"/>
  <c r="H22" i="13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3" i="14"/>
  <c r="D44" i="14" s="1"/>
  <c r="D30" i="14"/>
  <c r="H10" i="13" s="1"/>
  <c r="J29" i="14"/>
  <c r="J30" i="14" s="1"/>
  <c r="I29" i="14"/>
  <c r="I30" i="14" s="1"/>
  <c r="H9" i="13" s="1"/>
  <c r="H29" i="14"/>
  <c r="H30" i="14" s="1"/>
  <c r="G29" i="14"/>
  <c r="G30" i="14" s="1"/>
  <c r="H14" i="13" s="1"/>
  <c r="F29" i="14"/>
  <c r="F30" i="14" s="1"/>
  <c r="E29" i="14"/>
  <c r="E30" i="14" s="1"/>
  <c r="H11" i="13" s="1"/>
  <c r="D29" i="14"/>
  <c r="H18" i="13" l="1"/>
  <c r="H21" i="13"/>
  <c r="H5" i="13"/>
  <c r="H20" i="13"/>
  <c r="H15" i="13"/>
  <c r="H6" i="13"/>
  <c r="H13" i="13"/>
  <c r="H23" i="13"/>
  <c r="H19" i="13"/>
  <c r="H16" i="13"/>
  <c r="D24" i="12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7" i="4"/>
  <c r="Q9" i="4" l="1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28" i="2"/>
  <c r="B23" i="15"/>
  <c r="C23" i="15" s="1"/>
  <c r="B16" i="2"/>
  <c r="B11" i="15"/>
  <c r="C11" i="15" s="1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25" i="4"/>
  <c r="X25" i="4" s="1"/>
  <c r="Q13" i="4"/>
  <c r="X13" i="4" s="1"/>
  <c r="AI25" i="4"/>
  <c r="B27" i="2"/>
  <c r="B22" i="15"/>
  <c r="C22" i="15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24" i="4"/>
  <c r="X24" i="4" s="1"/>
  <c r="Q12" i="4"/>
  <c r="AI24" i="4"/>
  <c r="AI23" i="4"/>
  <c r="C23" i="4"/>
  <c r="D23" i="4"/>
  <c r="E23" i="4"/>
  <c r="F23" i="4"/>
  <c r="C24" i="4"/>
  <c r="D24" i="4"/>
  <c r="E24" i="4"/>
  <c r="F24" i="4"/>
  <c r="C25" i="4"/>
  <c r="D25" i="4"/>
  <c r="E25" i="4"/>
  <c r="F25" i="4"/>
  <c r="B6" i="2"/>
  <c r="B2" i="15"/>
  <c r="B2" i="13"/>
  <c r="B2" i="3"/>
  <c r="B2" i="2"/>
  <c r="X8" i="4" l="1"/>
  <c r="X12" i="4"/>
  <c r="X19" i="4"/>
  <c r="G24" i="4"/>
  <c r="H24" i="4" s="1"/>
  <c r="R24" i="4" s="1"/>
  <c r="G25" i="4"/>
  <c r="H25" i="4" s="1"/>
  <c r="L25" i="4" s="1"/>
  <c r="T25" i="4" s="1"/>
  <c r="G23" i="4"/>
  <c r="H23" i="4" s="1"/>
  <c r="C38" i="5"/>
  <c r="AI2" i="4"/>
  <c r="B5" i="15"/>
  <c r="C5" i="15" s="1"/>
  <c r="B10" i="2"/>
  <c r="Q24" i="5"/>
  <c r="N24" i="5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M24" i="5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9" i="2"/>
  <c r="B8" i="2"/>
  <c r="X7" i="4" l="1"/>
  <c r="M25" i="4"/>
  <c r="U25" i="4" s="1"/>
  <c r="L24" i="4"/>
  <c r="T24" i="4" s="1"/>
  <c r="M24" i="4"/>
  <c r="U24" i="4" s="1"/>
  <c r="I24" i="4"/>
  <c r="S24" i="4" s="1"/>
  <c r="L23" i="4"/>
  <c r="T23" i="4" s="1"/>
  <c r="R23" i="4"/>
  <c r="I25" i="4"/>
  <c r="S25" i="4" s="1"/>
  <c r="R25" i="4"/>
  <c r="M23" i="4"/>
  <c r="U23" i="4" s="1"/>
  <c r="I23" i="4"/>
  <c r="S23" i="4" s="1"/>
  <c r="C13" i="3"/>
  <c r="AJ23" i="4"/>
  <c r="AJ24" i="4"/>
  <c r="AJ19" i="4"/>
  <c r="AJ21" i="4"/>
  <c r="AJ15" i="4"/>
  <c r="I32" i="12"/>
  <c r="C12" i="3"/>
  <c r="H8" i="15"/>
  <c r="J8" i="15" s="1"/>
  <c r="I10" i="15"/>
  <c r="I8" i="15"/>
  <c r="H10" i="15"/>
  <c r="J10" i="15" s="1"/>
  <c r="K24" i="5"/>
  <c r="G24" i="5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6" i="4"/>
  <c r="F26" i="4"/>
  <c r="D26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6" i="4"/>
  <c r="C5" i="2" s="1"/>
  <c r="G14" i="4"/>
  <c r="H14" i="4" s="1"/>
  <c r="R14" i="4" s="1"/>
  <c r="G13" i="4"/>
  <c r="H13" i="4" s="1"/>
  <c r="R13" i="4" s="1"/>
  <c r="J26" i="4"/>
  <c r="G10" i="4"/>
  <c r="H10" i="4" s="1"/>
  <c r="R10" i="4" s="1"/>
  <c r="G8" i="4"/>
  <c r="H8" i="4" s="1"/>
  <c r="R8" i="4" s="1"/>
  <c r="K26" i="4"/>
  <c r="L24" i="5"/>
  <c r="G9" i="4"/>
  <c r="H9" i="4" s="1"/>
  <c r="R9" i="4" s="1"/>
  <c r="D11" i="12"/>
  <c r="E28" i="5" s="1"/>
  <c r="AJ14" i="4"/>
  <c r="AJ12" i="4"/>
  <c r="AJ20" i="4"/>
  <c r="I30" i="12"/>
  <c r="AJ22" i="4" l="1"/>
  <c r="D27" i="12"/>
  <c r="E29" i="5" s="1"/>
  <c r="AJ16" i="4"/>
  <c r="AJ13" i="4"/>
  <c r="AJ8" i="4"/>
  <c r="AJ25" i="4"/>
  <c r="AJ10" i="4"/>
  <c r="AJ18" i="4"/>
  <c r="AJ17" i="4"/>
  <c r="N25" i="4"/>
  <c r="O25" i="4" s="1"/>
  <c r="N24" i="4"/>
  <c r="O24" i="4" s="1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6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6" i="4"/>
  <c r="I9" i="4"/>
  <c r="S9" i="4" s="1"/>
  <c r="M9" i="4"/>
  <c r="U9" i="4" s="1"/>
  <c r="L9" i="4"/>
  <c r="T9" i="4" s="1"/>
  <c r="W26" i="4"/>
  <c r="C33" i="5"/>
  <c r="Y23" i="4" l="1"/>
  <c r="Y25" i="4"/>
  <c r="Y24" i="4"/>
  <c r="H26" i="4"/>
  <c r="R7" i="4"/>
  <c r="R26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6" i="4"/>
  <c r="U7" i="4"/>
  <c r="U26" i="4" s="1"/>
  <c r="I26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6" i="4"/>
  <c r="L26" i="4"/>
  <c r="V26" i="4"/>
  <c r="S26" i="4"/>
  <c r="Y7" i="4" l="1"/>
  <c r="Y26" i="4" s="1"/>
  <c r="O26" i="4"/>
  <c r="K8" i="15"/>
  <c r="K10" i="15"/>
  <c r="N26" i="4"/>
  <c r="AC5" i="4" s="1"/>
  <c r="Z24" i="4" l="1"/>
  <c r="AD24" i="4" s="1"/>
  <c r="AA24" i="4"/>
  <c r="AE24" i="4" s="1"/>
  <c r="AL24" i="4" s="1"/>
  <c r="AB24" i="4"/>
  <c r="AF24" i="4" s="1"/>
  <c r="AM24" i="4" s="1"/>
  <c r="AC24" i="4"/>
  <c r="AG24" i="4" s="1"/>
  <c r="AN24" i="4" s="1"/>
  <c r="Z23" i="4"/>
  <c r="AD23" i="4" s="1"/>
  <c r="AA23" i="4"/>
  <c r="AE23" i="4" s="1"/>
  <c r="AL23" i="4" s="1"/>
  <c r="AC23" i="4"/>
  <c r="AG23" i="4" s="1"/>
  <c r="AN23" i="4" s="1"/>
  <c r="AB23" i="4"/>
  <c r="AF23" i="4" s="1"/>
  <c r="AM23" i="4" s="1"/>
  <c r="Z25" i="4"/>
  <c r="AD25" i="4" s="1"/>
  <c r="AA25" i="4"/>
  <c r="AE25" i="4" s="1"/>
  <c r="AL25" i="4" s="1"/>
  <c r="AB25" i="4"/>
  <c r="AF25" i="4" s="1"/>
  <c r="AM25" i="4" s="1"/>
  <c r="AC25" i="4"/>
  <c r="AG25" i="4" s="1"/>
  <c r="AN25" i="4" s="1"/>
  <c r="C34" i="5"/>
  <c r="C35" i="5" s="1"/>
  <c r="AK23" i="4" l="1"/>
  <c r="D21" i="15"/>
  <c r="AK25" i="4"/>
  <c r="D23" i="15"/>
  <c r="D22" i="15"/>
  <c r="AK24" i="4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O24" i="4"/>
  <c r="C27" i="2" s="1"/>
  <c r="E22" i="15"/>
  <c r="AK17" i="4"/>
  <c r="D15" i="15"/>
  <c r="AO25" i="4"/>
  <c r="C28" i="2" s="1"/>
  <c r="E23" i="15"/>
  <c r="D18" i="15"/>
  <c r="AK20" i="4"/>
  <c r="AK21" i="4"/>
  <c r="D19" i="15"/>
  <c r="AK13" i="4"/>
  <c r="D11" i="15"/>
  <c r="H9" i="15" s="1"/>
  <c r="J9" i="15" s="1"/>
  <c r="AK11" i="4"/>
  <c r="D9" i="15"/>
  <c r="AK9" i="4"/>
  <c r="D7" i="15"/>
  <c r="AK19" i="4"/>
  <c r="D17" i="15"/>
  <c r="H6" i="15" s="1"/>
  <c r="J6" i="15" s="1"/>
  <c r="AK16" i="4"/>
  <c r="D14" i="15"/>
  <c r="AO23" i="4"/>
  <c r="E21" i="15"/>
  <c r="AB26" i="4"/>
  <c r="AF7" i="4"/>
  <c r="AF26" i="4" s="1"/>
  <c r="AA26" i="4"/>
  <c r="AC26" i="4"/>
  <c r="Z26" i="4"/>
  <c r="AG26" i="4"/>
  <c r="AN7" i="4"/>
  <c r="AN26" i="4" s="1"/>
  <c r="AW7" i="4" s="1"/>
  <c r="AW8" i="4" s="1"/>
  <c r="AD26" i="4"/>
  <c r="AK7" i="4"/>
  <c r="AE26" i="4"/>
  <c r="AL7" i="4"/>
  <c r="AL26" i="4" s="1"/>
  <c r="AU7" i="4" s="1"/>
  <c r="AU8" i="4" s="1"/>
  <c r="AP23" i="4" l="1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I6" i="15" s="1"/>
  <c r="AP25" i="4"/>
  <c r="AQ25" i="4" s="1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AP24" i="4"/>
  <c r="AQ24" i="4" s="1"/>
  <c r="E20" i="15"/>
  <c r="AO22" i="4"/>
  <c r="C25" i="2" s="1"/>
  <c r="AO15" i="4"/>
  <c r="E13" i="15"/>
  <c r="AO13" i="4"/>
  <c r="E11" i="15"/>
  <c r="I9" i="15" s="1"/>
  <c r="AO14" i="4"/>
  <c r="E12" i="15"/>
  <c r="D28" i="2"/>
  <c r="E28" i="2" s="1"/>
  <c r="F28" i="2"/>
  <c r="H5" i="15"/>
  <c r="D5" i="15"/>
  <c r="H7" i="15" s="1"/>
  <c r="J7" i="15" s="1"/>
  <c r="AM7" i="4"/>
  <c r="AM26" i="4" s="1"/>
  <c r="AV7" i="4" s="1"/>
  <c r="AV8" i="4" s="1"/>
  <c r="AK26" i="4"/>
  <c r="I5" i="15" l="1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G28" i="2"/>
  <c r="H28" i="2" s="1"/>
  <c r="C11" i="2"/>
  <c r="D11" i="2" s="1"/>
  <c r="E11" i="2" s="1"/>
  <c r="H11" i="15"/>
  <c r="J11" i="15" s="1"/>
  <c r="D24" i="15"/>
  <c r="K9" i="15"/>
  <c r="E5" i="15"/>
  <c r="I7" i="15" s="1"/>
  <c r="J5" i="15"/>
  <c r="K6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F12" i="2" l="1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4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6" i="4"/>
  <c r="AO26" i="4"/>
  <c r="C10" i="2"/>
  <c r="C29" i="2" s="1"/>
  <c r="AQ7" i="4"/>
  <c r="AQ26" i="4" s="1"/>
  <c r="AT11" i="4"/>
  <c r="D5" i="2"/>
  <c r="AT12" i="4"/>
  <c r="G17" i="2" l="1"/>
  <c r="H17" i="2" s="1"/>
  <c r="D27" i="2"/>
  <c r="E27" i="2" s="1"/>
  <c r="F27" i="2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9" i="2" l="1"/>
  <c r="D29" i="2"/>
  <c r="I27" i="2"/>
  <c r="I17" i="2"/>
  <c r="I22" i="2"/>
  <c r="I28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G27" i="2"/>
  <c r="H27" i="2" s="1"/>
  <c r="H6" i="2"/>
  <c r="I5" i="2"/>
  <c r="I6" i="2" s="1"/>
  <c r="M7" i="15"/>
  <c r="L13" i="15"/>
  <c r="M9" i="15"/>
  <c r="M6" i="15"/>
  <c r="M10" i="15"/>
  <c r="M8" i="15"/>
  <c r="M5" i="15"/>
  <c r="E10" i="2"/>
  <c r="E29" i="2" s="1"/>
  <c r="G10" i="2"/>
  <c r="I10" i="2"/>
  <c r="G5" i="2"/>
  <c r="G6" i="2" s="1"/>
  <c r="F6" i="2"/>
  <c r="G29" i="2" l="1"/>
  <c r="I29" i="2"/>
  <c r="F11" i="1"/>
  <c r="G11" i="1" s="1"/>
  <c r="M13" i="15"/>
  <c r="H10" i="2"/>
  <c r="H29" i="2" s="1"/>
</calcChain>
</file>

<file path=xl/sharedStrings.xml><?xml version="1.0" encoding="utf-8"?>
<sst xmlns="http://schemas.openxmlformats.org/spreadsheetml/2006/main" count="648" uniqueCount="320">
  <si>
    <t>PLANILHA DETALHADA DE FORMAÇÃO DE PREÇO</t>
  </si>
  <si>
    <t>ITEM</t>
  </si>
  <si>
    <t>DESCRIÇÃO DO SERVIÇO</t>
  </si>
  <si>
    <t>UN.</t>
  </si>
  <si>
    <t>QTE.</t>
  </si>
  <si>
    <t>PREÇO UNITÁRIO (R$)</t>
  </si>
  <si>
    <t>PREÇO ANUAL (R$)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</si>
  <si>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</si>
  <si>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</si>
  <si>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</si>
  <si>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</si>
  <si>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</si>
  <si>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</si>
  <si>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</si>
  <si>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</si>
  <si>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</si>
  <si>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</si>
  <si>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</si>
  <si>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</si>
  <si>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</si>
  <si>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</si>
  <si>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</si>
  <si>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</si>
  <si>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</si>
  <si>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</si>
  <si>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</si>
  <si>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</si>
  <si>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</si>
  <si>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</si>
  <si>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</si>
  <si>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</si>
  <si>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</si>
  <si>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</si>
  <si>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</si>
  <si>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</si>
  <si>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</si>
  <si>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</si>
  <si>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</si>
  <si>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</si>
  <si>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</si>
  <si>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</si>
  <si>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</si>
  <si>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</si>
  <si>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</si>
  <si>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</si>
  <si>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</si>
  <si>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</si>
  <si>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</si>
  <si>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</si>
  <si>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</si>
  <si>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</si>
  <si>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</si>
  <si>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</si>
  <si>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</si>
  <si>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</si>
  <si>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</si>
  <si>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</si>
  <si>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</si>
  <si>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</si>
  <si>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</si>
  <si>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</si>
  <si>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</si>
  <si>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</si>
  <si>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</si>
  <si>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</si>
  <si>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</si>
  <si>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</si>
  <si>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</si>
  <si>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</si>
  <si>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</si>
  <si>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</si>
  <si>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</si>
  <si>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</si>
  <si>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Custo por tipo de rotina</t>
  </si>
  <si>
    <t>Custo Anual por tipo de rotina</t>
  </si>
  <si>
    <t>Custo Anual Preventiva</t>
  </si>
  <si>
    <t>Custo Anual Corretiva</t>
  </si>
  <si>
    <t>Custo Médio Mensal Manutenção</t>
  </si>
  <si>
    <t>Custo Anual Manutenção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</si>
  <si>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</si>
  <si>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</si>
  <si>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</si>
  <si>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</si>
  <si>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</si>
  <si>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</si>
  <si>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</si>
  <si>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</si>
  <si>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</si>
  <si>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</si>
  <si>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</si>
  <si>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</si>
  <si>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</si>
  <si>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</si>
  <si>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</si>
  <si>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</si>
  <si>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</si>
  <si>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</si>
  <si>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</si>
  <si>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</si>
  <si>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</si>
  <si>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</si>
  <si>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</si>
  <si>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</si>
  <si>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</si>
  <si>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</si>
  <si>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</si>
  <si>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</si>
  <si>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</si>
  <si>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COMPOSIÇÃO CUSTO DO VEÍCULO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</si>
  <si>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</si>
  <si>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</si>
  <si>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</si>
  <si>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</si>
  <si>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</si>
  <si>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Tipo</t>
  </si>
  <si>
    <t>CHOR - CUSTOS HORÁRIOS DE MÁQUINAS E EQUIPAMENTOS</t>
  </si>
  <si>
    <t>Valor Não Desonerado</t>
  </si>
  <si>
    <t>Coeficiente</t>
  </si>
  <si>
    <t>C</t>
  </si>
  <si>
    <t>H</t>
  </si>
  <si>
    <t>1,0</t>
  </si>
  <si>
    <t>92140</t>
  </si>
  <si>
    <t>CAMINHONETE CABINE SIMPLES COM MOTOR 1.6 FLEX, CÂMBIO MANUAL, POTÊNCIA 101/104 CV, 2 PORTAS - DEPRECIAÇÃO. AF_11/2015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</si>
  <si>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</si>
  <si>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</si>
  <si>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</si>
  <si>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</si>
  <si>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</si>
  <si>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</si>
  <si>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</si>
  <si>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</si>
  <si>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92145 (SEM MOTORISTA)</t>
  </si>
  <si>
    <t>codigo</t>
  </si>
  <si>
    <t>92146</t>
  </si>
  <si>
    <t>CAMINHONETE CABINE SIMPLES COM MOTOR 1.6 FLEX, CÂMBIO MANUAL, POTÊNCIA 101/104 CV, 2 PORTAS - CHI DIURNO. AF_11/2015</t>
  </si>
  <si>
    <t>Composição ALTERADA SINAPI – 92146 (SEM MOTORISTA)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</si>
  <si>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</si>
  <si>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</si>
  <si>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</si>
  <si>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</si>
  <si>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</si>
  <si>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</si>
  <si>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</si>
  <si>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</si>
  <si>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</si>
  <si>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</si>
  <si>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NÃO</t>
  </si>
  <si>
    <t>SIM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</si>
  <si>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</si>
  <si>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</si>
  <si>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</si>
  <si>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</si>
  <si>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</si>
  <si>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</si>
  <si>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</si>
  <si>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</si>
  <si>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</si>
  <si>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</si>
  <si>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</si>
  <si>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</si>
  <si>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</si>
  <si>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</si>
  <si>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</si>
  <si>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</si>
  <si>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</si>
  <si>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</si>
  <si>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</si>
  <si>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</si>
  <si>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</si>
  <si>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</si>
  <si>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</si>
  <si>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</si>
  <si>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</si>
  <si>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SANTA MARIA</t>
  </si>
  <si>
    <t>Preços pesquisados em 20/10/2023.</t>
  </si>
  <si>
    <t>Rio Grande do Sul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</si>
  <si>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</si>
  <si>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</si>
  <si>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</si>
  <si>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</si>
  <si>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</si>
  <si>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</si>
  <si>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</si>
  <si>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</si>
  <si>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</si>
  <si>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</si>
  <si>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</si>
  <si>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</si>
  <si>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</si>
  <si>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</si>
  <si>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POLO IX</t>
  </si>
  <si>
    <t>Serviço de manutenção predial preventiva e corretiva por demanda, com fornecimento de materiais, peças e componentes, nos imóveis relacionados no Polo Regional IX.</t>
  </si>
  <si>
    <t>PASSO FUNDO</t>
  </si>
  <si>
    <t>CAXIAS DO SUL</t>
  </si>
  <si>
    <t>APS Nova Prata</t>
  </si>
  <si>
    <t>Av. Placidina de Araújo, 742</t>
  </si>
  <si>
    <t>APS Vacaria</t>
  </si>
  <si>
    <t>Rua Marechal Floriano, 250</t>
  </si>
  <si>
    <t>APS Veranópolis</t>
  </si>
  <si>
    <t>Rua General Flores da Cunha, 454</t>
  </si>
  <si>
    <t>APS Carazinho</t>
  </si>
  <si>
    <t>Av. Pátria, 525, Centro</t>
  </si>
  <si>
    <t>APS Casca</t>
  </si>
  <si>
    <t>Rua Gal. Pinheiro Machado, 20, Centro</t>
  </si>
  <si>
    <t>APS Erechim</t>
  </si>
  <si>
    <t>Av. Tiradentes, 401, Centro</t>
  </si>
  <si>
    <t>APS Espumoso</t>
  </si>
  <si>
    <t>Rua Vasco da Gama, 259, Centro</t>
  </si>
  <si>
    <t>APS Getúlio Vargas</t>
  </si>
  <si>
    <t>Av. Borges de Medeiros, 785, Centro</t>
  </si>
  <si>
    <t>APS Guaporé</t>
  </si>
  <si>
    <t>Rua Cel. Agilberto Maia, 715, Centro</t>
  </si>
  <si>
    <t>APS Lagoa Vermelha</t>
  </si>
  <si>
    <t>Rua Bento Gonçalves, 304, Centro</t>
  </si>
  <si>
    <t>APS Marau</t>
  </si>
  <si>
    <t>Rua Irineu Ferlin, 16, Centro</t>
  </si>
  <si>
    <t>APS Sarandi</t>
  </si>
  <si>
    <t>Av. 7 de Setembro, 2111, Centro</t>
  </si>
  <si>
    <t>APS Serafina Corrêa</t>
  </si>
  <si>
    <t>Rua Costa e Silva, 703, Centro</t>
  </si>
  <si>
    <t>APS Soledade</t>
  </si>
  <si>
    <t>Av. Maurício Cardoso, 1224, Centro</t>
  </si>
  <si>
    <t>GEX/APS Passo Fundo</t>
  </si>
  <si>
    <t>Rua General Osório, 1244, Centro</t>
  </si>
  <si>
    <t>APS Candelária</t>
  </si>
  <si>
    <t>Rua 25 de Agosto, 90, Centro</t>
  </si>
  <si>
    <t>APS Santa Cruz do Sul</t>
  </si>
  <si>
    <t>Rua Ramiro Barcelos, 1430, Centro</t>
  </si>
  <si>
    <t>APS Sobradinho</t>
  </si>
  <si>
    <t>Rua Pedro Alvares Cabral, S/N, Centro</t>
  </si>
  <si>
    <t>APS Venâncio Aires</t>
  </si>
  <si>
    <t>Rua Jacob Becker, 1733, Centro</t>
  </si>
  <si>
    <t>1.27</t>
  </si>
  <si>
    <t>DESONERADA</t>
  </si>
  <si>
    <t>Oficial de Manutenção Predial</t>
  </si>
  <si>
    <t>Ajudante (ref. SINAPI/88241)</t>
  </si>
  <si>
    <t>* Tabela SINAPI Outubro/2023 (Não Desonerado)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</si>
  <si>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</si>
  <si>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</si>
  <si>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</si>
  <si>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</si>
  <si>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</si>
  <si>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</si>
  <si>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</si>
  <si>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</si>
  <si>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</si>
  <si>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</si>
  <si>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</si>
  <si>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</si>
  <si>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</si>
  <si>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</si>
  <si>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</si>
  <si>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</si>
  <si>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</si>
  <si>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</si>
  <si>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</si>
  <si>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</si>
  <si>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</si>
  <si>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</si>
  <si>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</si>
  <si>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</si>
  <si>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</si>
  <si>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</si>
  <si>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</si>
  <si>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</si>
  <si>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</si>
  <si>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</si>
  <si>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</si>
  <si>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</si>
  <si>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</si>
  <si>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</si>
  <si>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</si>
  <si>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</si>
  <si>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</si>
  <si>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</si>
  <si>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</si>
  <si>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</si>
  <si>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</si>
  <si>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</si>
  <si>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</si>
  <si>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</si>
  <si>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Subestação?</t>
  </si>
  <si>
    <t>Inclui eletrotécnico no deslocamento?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</si>
  <si>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</si>
  <si>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</si>
  <si>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</si>
  <si>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</si>
  <si>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</si>
  <si>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</si>
  <si>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</si>
  <si>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</si>
  <si>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</si>
  <si>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</si>
  <si>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</si>
  <si>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</si>
  <si>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</si>
  <si>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</si>
  <si>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</si>
  <si>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</si>
  <si>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</si>
  <si>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</si>
  <si>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</si>
  <si>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Valor Unitário Desonerado</t>
  </si>
  <si>
    <t>Valor Desonerado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</si>
  <si>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</si>
  <si>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</si>
  <si>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</si>
  <si>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</si>
  <si>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</si>
  <si>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</si>
  <si>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</si>
  <si>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</si>
  <si>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</si>
  <si>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</si>
  <si>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</si>
  <si>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</si>
  <si>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</si>
  <si>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</si>
  <si>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ANEXO I – B9</t>
  </si>
  <si>
    <t>VALOR TOTAL DO ITEM 9: R$ 1.225.464,60 (Um milhão, duzentos e vinte e cinco mil, quatrocentos e sessenta e quatro reais e sessenta centavos).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</si>
</sst>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3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21" xfId="4" applyFont="1" applyFill="1" applyBorder="1" applyAlignment="1">
      <alignment horizontal="center" vertical="center" wrapText="1"/>
    </xf>
    <xf numFmtId="0" fontId="16" fillId="9" borderId="21" xfId="4" applyFont="1" applyFill="1" applyBorder="1" applyAlignment="1">
      <alignment horizontal="left" vertical="center" wrapText="1"/>
    </xf>
    <xf numFmtId="0" fontId="16" fillId="9" borderId="21" xfId="4" applyFont="1" applyFill="1" applyBorder="1" applyAlignment="1">
      <alignment horizontal="center" vertical="center" wrapText="1"/>
    </xf>
    <xf numFmtId="10" fontId="9" fillId="0" borderId="21" xfId="2" applyNumberFormat="1" applyBorder="1" applyAlignment="1">
      <alignment horizontal="center" vertical="center"/>
    </xf>
    <xf numFmtId="171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1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4" fontId="5" fillId="0" borderId="1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165" fontId="5" fillId="0" borderId="1" xfId="8" applyFont="1" applyBorder="1" applyAlignment="1" applyProtection="1">
      <alignment vertical="center"/>
    </xf>
    <xf numFmtId="170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164" fontId="20" fillId="0" borderId="23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164" fontId="6" fillId="0" borderId="1" xfId="7" applyNumberFormat="1" applyFont="1" applyBorder="1" applyAlignment="1">
      <alignment horizontal="left" vertical="center"/>
    </xf>
    <xf numFmtId="0" fontId="6" fillId="0" borderId="2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11" borderId="1" xfId="0" applyFont="1" applyFill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9" fillId="0" borderId="0" xfId="9" applyAlignment="1">
      <alignment horizontal="left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3" xfId="4" applyFont="1" applyFill="1" applyBorder="1" applyAlignment="1">
      <alignment horizontal="center" vertical="center" wrapText="1"/>
    </xf>
    <xf numFmtId="0" fontId="14" fillId="4" borderId="21" xfId="4" applyFont="1" applyFill="1" applyBorder="1" applyAlignment="1">
      <alignment horizontal="left" vertical="top" wrapText="1"/>
    </xf>
    <xf numFmtId="0" fontId="15" fillId="4" borderId="21" xfId="4" applyFont="1" applyFill="1" applyBorder="1" applyAlignment="1">
      <alignment horizontal="left" vertical="top" wrapText="1"/>
    </xf>
    <xf numFmtId="49" fontId="15" fillId="4" borderId="21" xfId="4" applyNumberFormat="1" applyFont="1" applyFill="1" applyBorder="1" applyAlignment="1">
      <alignment horizontal="left" vertical="top" wrapText="1"/>
    </xf>
    <xf numFmtId="0" fontId="14" fillId="4" borderId="21" xfId="4" applyFont="1" applyFill="1" applyBorder="1" applyAlignment="1">
      <alignment horizontal="left" vertical="center" wrapText="1"/>
    </xf>
    <xf numFmtId="171" fontId="22" fillId="4" borderId="17" xfId="4" applyNumberFormat="1" applyFont="1" applyFill="1" applyBorder="1" applyAlignment="1">
      <alignment horizontal="left" vertical="center" wrapText="1"/>
    </xf>
    <xf numFmtId="171" fontId="22" fillId="4" borderId="18" xfId="4" applyNumberFormat="1" applyFont="1" applyFill="1" applyBorder="1" applyAlignment="1">
      <alignment horizontal="left" vertical="center" wrapText="1"/>
    </xf>
    <xf numFmtId="171" fontId="22" fillId="4" borderId="19" xfId="4" applyNumberFormat="1" applyFont="1" applyFill="1" applyBorder="1" applyAlignment="1">
      <alignment horizontal="left" vertical="center" wrapText="1"/>
    </xf>
    <xf numFmtId="0" fontId="14" fillId="4" borderId="17" xfId="4" applyFont="1" applyFill="1" applyBorder="1" applyAlignment="1">
      <alignment horizontal="left" vertical="center" wrapText="1"/>
    </xf>
    <xf numFmtId="0" fontId="14" fillId="4" borderId="19" xfId="4" applyFont="1" applyFill="1" applyBorder="1" applyAlignment="1">
      <alignment horizontal="left" vertical="center" wrapText="1"/>
    </xf>
    <xf numFmtId="49" fontId="15" fillId="4" borderId="17" xfId="4" applyNumberFormat="1" applyFont="1" applyFill="1" applyBorder="1" applyAlignment="1">
      <alignment horizontal="left" vertical="center" wrapText="1"/>
    </xf>
    <xf numFmtId="0" fontId="15" fillId="4" borderId="18" xfId="4" applyFont="1" applyFill="1" applyBorder="1" applyAlignment="1">
      <alignment horizontal="left" vertical="center" wrapText="1"/>
    </xf>
    <xf numFmtId="0" fontId="15" fillId="4" borderId="19" xfId="4" applyFont="1" applyFill="1" applyBorder="1" applyAlignment="1">
      <alignment horizontal="left" vertical="center" wrapText="1"/>
    </xf>
    <xf numFmtId="0" fontId="15" fillId="4" borderId="17" xfId="4" applyFont="1" applyFill="1" applyBorder="1" applyAlignment="1">
      <alignment horizontal="left" vertical="center" wrapText="1"/>
    </xf>
    <xf numFmtId="0" fontId="13" fillId="8" borderId="21" xfId="4" applyFont="1" applyFill="1" applyBorder="1" applyAlignment="1">
      <alignment horizontal="center" vertical="center" wrapText="1"/>
    </xf>
    <xf numFmtId="0" fontId="13" fillId="8" borderId="17" xfId="4" applyFont="1" applyFill="1" applyBorder="1" applyAlignment="1">
      <alignment horizontal="center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9" xfId="4" applyFont="1" applyFill="1" applyBorder="1" applyAlignment="1">
      <alignment horizontal="center" vertical="center" wrapText="1"/>
    </xf>
    <xf numFmtId="164" fontId="22" fillId="4" borderId="21" xfId="4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5E8BA607-8E57-4513-A36D-A5D9843D7F23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3525A083-EB62-479B-BB87-4B64B537515C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21</xdr:row>
      <xdr:rowOff>20880</xdr:rowOff>
    </xdr:from>
    <xdr:ext cx="6434842" cy="801720"/>
    <xdr:pic>
      <xdr:nvPicPr>
        <xdr:cNvPr id="2" name="Figura 1">
          <a:extLst>
            <a:ext uri="{FF2B5EF4-FFF2-40B4-BE49-F238E27FC236}">
              <a16:creationId xmlns:a16="http://schemas.microsoft.com/office/drawing/2014/main" id="{78806E3B-3236-4EF2-AA37-0E6F1EDEFCFA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4842" cy="80172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142541</xdr:colOff>
      <xdr:row>25</xdr:row>
      <xdr:rowOff>61465</xdr:rowOff>
    </xdr:from>
    <xdr:ext cx="6222262" cy="630011"/>
    <xdr:pic>
      <xdr:nvPicPr>
        <xdr:cNvPr id="3" name="Figura 2">
          <a:extLst>
            <a:ext uri="{FF2B5EF4-FFF2-40B4-BE49-F238E27FC236}">
              <a16:creationId xmlns:a16="http://schemas.microsoft.com/office/drawing/2014/main" id="{76D4374C-EA65-4EB2-99DD-DE6FF977BE41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2262" cy="630011"/>
        </a:xfrm>
        <a:prstGeom prst="rect">
          <a:avLst/>
        </a:prstGeom>
        <a:ln w="0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13" sqref="B13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192"/>
      <c r="C2" s="193"/>
      <c r="D2" s="193"/>
      <c r="E2" s="193"/>
      <c r="F2" s="193"/>
      <c r="G2" s="194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5" t="s">
        <v>318</v>
      </c>
      <c r="C4" s="196"/>
      <c r="D4" s="196"/>
      <c r="E4" s="196"/>
      <c r="F4" s="196"/>
      <c r="G4" s="197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198" t="s">
        <v>0</v>
      </c>
      <c r="C6" s="199"/>
      <c r="D6" s="199"/>
      <c r="E6" s="199"/>
      <c r="F6" s="199"/>
      <c r="G6" s="200"/>
    </row>
    <row r="7" spans="2:7" ht="20.100000000000001" customHeight="1">
      <c r="B7" s="205" t="s">
        <v>190</v>
      </c>
      <c r="C7" s="206"/>
      <c r="D7" s="206"/>
      <c r="E7" s="206"/>
      <c r="F7" s="206"/>
      <c r="G7" s="207"/>
    </row>
    <row r="8" spans="2:7" ht="20.100000000000001" customHeight="1">
      <c r="B8" s="201" t="s">
        <v>233</v>
      </c>
      <c r="C8" s="202"/>
      <c r="D8" s="202"/>
      <c r="E8" s="202"/>
      <c r="F8" s="202"/>
      <c r="G8" s="203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0" t="s">
        <v>1</v>
      </c>
      <c r="C10" s="120" t="s">
        <v>2</v>
      </c>
      <c r="D10" s="120" t="s">
        <v>3</v>
      </c>
      <c r="E10" s="120" t="s">
        <v>4</v>
      </c>
      <c r="F10" s="120" t="s">
        <v>5</v>
      </c>
      <c r="G10" s="120" t="s">
        <v>6</v>
      </c>
    </row>
    <row r="11" spans="2:7" ht="81.599999999999994" customHeight="1">
      <c r="B11" s="121">
        <v>9</v>
      </c>
      <c r="C11" s="122" t="s">
        <v>191</v>
      </c>
      <c r="D11" s="123" t="s">
        <v>7</v>
      </c>
      <c r="E11" s="123">
        <v>12</v>
      </c>
      <c r="F11" s="124">
        <f>ROUND(Resumo!D6+Resumo!F6,2)</f>
        <v>102122.05</v>
      </c>
      <c r="G11" s="125">
        <f>F11*12</f>
        <v>1225464.6000000001</v>
      </c>
    </row>
    <row r="12" spans="2:7" ht="42.4" customHeight="1">
      <c r="B12" s="204" t="s">
        <v>319</v>
      </c>
      <c r="C12" s="204"/>
      <c r="D12" s="204"/>
      <c r="E12" s="204"/>
      <c r="F12" s="204"/>
      <c r="G12" s="204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10" zoomScaleNormal="110" workbookViewId="0">
      <selection activeCell="L12" sqref="L12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0" t="s">
        <v>108</v>
      </c>
      <c r="C2" s="280"/>
      <c r="D2" s="280"/>
      <c r="E2" s="280"/>
      <c r="F2" s="280"/>
      <c r="G2" s="280"/>
      <c r="H2" s="280"/>
      <c r="I2" s="280"/>
    </row>
    <row r="3" spans="2:9" ht="21" customHeight="1"/>
    <row r="4" spans="2:9" ht="17.100000000000001" customHeight="1">
      <c r="B4" s="266" t="s">
        <v>131</v>
      </c>
      <c r="C4" s="266"/>
      <c r="D4" s="266"/>
      <c r="E4" s="266"/>
      <c r="F4" s="266"/>
      <c r="G4" s="266"/>
      <c r="H4" s="266"/>
      <c r="I4" s="266"/>
    </row>
    <row r="5" spans="2:9" ht="17.100000000000001" customHeight="1">
      <c r="B5" s="267" t="s">
        <v>109</v>
      </c>
      <c r="C5" s="267"/>
      <c r="D5" s="268" t="s">
        <v>110</v>
      </c>
      <c r="E5" s="268"/>
      <c r="F5" s="268"/>
      <c r="G5" s="268"/>
      <c r="H5" s="268"/>
      <c r="I5" s="268"/>
    </row>
    <row r="6" spans="2:9" ht="17.100000000000001" customHeight="1">
      <c r="B6" s="267" t="s">
        <v>97</v>
      </c>
      <c r="C6" s="267"/>
      <c r="D6" s="268" t="s">
        <v>111</v>
      </c>
      <c r="E6" s="268"/>
      <c r="F6" s="268"/>
      <c r="G6" s="268"/>
      <c r="H6" s="268"/>
      <c r="I6" s="268"/>
    </row>
    <row r="7" spans="2:9" ht="17.100000000000001" customHeight="1">
      <c r="B7" s="267" t="s">
        <v>112</v>
      </c>
      <c r="C7" s="267"/>
      <c r="D7" s="269" t="s">
        <v>263</v>
      </c>
      <c r="E7" s="269"/>
      <c r="F7" s="269"/>
      <c r="G7" s="269"/>
      <c r="H7" s="269"/>
      <c r="I7" s="269"/>
    </row>
    <row r="8" spans="2:9" ht="17.100000000000001" customHeight="1">
      <c r="B8" s="267" t="s">
        <v>113</v>
      </c>
      <c r="C8" s="267"/>
      <c r="D8" s="268" t="s">
        <v>175</v>
      </c>
      <c r="E8" s="268"/>
      <c r="F8" s="268"/>
      <c r="G8" s="268"/>
      <c r="H8" s="268"/>
      <c r="I8" s="268"/>
    </row>
    <row r="9" spans="2:9" ht="17.100000000000001" customHeight="1">
      <c r="B9" s="267" t="s">
        <v>114</v>
      </c>
      <c r="C9" s="267"/>
      <c r="D9" s="268" t="s">
        <v>115</v>
      </c>
      <c r="E9" s="268"/>
      <c r="F9" s="268"/>
      <c r="G9" s="268"/>
      <c r="H9" s="268"/>
      <c r="I9" s="268"/>
    </row>
    <row r="10" spans="2:9" ht="17.100000000000001" customHeight="1">
      <c r="B10" s="267" t="s">
        <v>98</v>
      </c>
      <c r="C10" s="267"/>
      <c r="D10" s="268" t="s">
        <v>102</v>
      </c>
      <c r="E10" s="268"/>
      <c r="F10" s="268"/>
      <c r="G10" s="268"/>
      <c r="H10" s="268"/>
      <c r="I10" s="268"/>
    </row>
    <row r="11" spans="2:9" ht="23.85" customHeight="1">
      <c r="B11" s="270" t="s">
        <v>116</v>
      </c>
      <c r="C11" s="270"/>
      <c r="D11" s="284">
        <f>SUM(I14:I18)</f>
        <v>50.55</v>
      </c>
      <c r="E11" s="284"/>
      <c r="F11" s="284"/>
      <c r="G11" s="284"/>
      <c r="H11" s="284"/>
      <c r="I11" s="284"/>
    </row>
    <row r="12" spans="2:9" ht="15.75" customHeight="1">
      <c r="B12" s="103"/>
      <c r="C12" s="103"/>
      <c r="D12" s="104"/>
      <c r="E12" s="104"/>
      <c r="F12" s="104"/>
      <c r="G12" s="104"/>
      <c r="H12" s="104"/>
      <c r="I12" s="104"/>
    </row>
    <row r="13" spans="2:9" ht="29.65" customHeight="1">
      <c r="B13" s="105"/>
      <c r="C13" s="105" t="s">
        <v>132</v>
      </c>
      <c r="D13" s="105" t="s">
        <v>97</v>
      </c>
      <c r="E13" s="105" t="s">
        <v>114</v>
      </c>
      <c r="F13" s="105" t="s">
        <v>98</v>
      </c>
      <c r="G13" s="105" t="s">
        <v>116</v>
      </c>
      <c r="H13" s="105" t="s">
        <v>117</v>
      </c>
      <c r="I13" s="105" t="s">
        <v>116</v>
      </c>
    </row>
    <row r="14" spans="2:9" ht="28.35" customHeight="1">
      <c r="B14" s="107" t="s">
        <v>118</v>
      </c>
      <c r="C14" s="107" t="s">
        <v>121</v>
      </c>
      <c r="D14" s="106" t="s">
        <v>122</v>
      </c>
      <c r="E14" s="106" t="s">
        <v>115</v>
      </c>
      <c r="F14" s="107" t="s">
        <v>119</v>
      </c>
      <c r="G14" s="107">
        <v>4.8600000000000003</v>
      </c>
      <c r="H14" s="107" t="s">
        <v>120</v>
      </c>
      <c r="I14" s="107">
        <f>G14*H14</f>
        <v>4.8600000000000003</v>
      </c>
    </row>
    <row r="15" spans="2:9" ht="28.35" customHeight="1">
      <c r="B15" s="107" t="s">
        <v>118</v>
      </c>
      <c r="C15" s="107" t="s">
        <v>123</v>
      </c>
      <c r="D15" s="106" t="s">
        <v>124</v>
      </c>
      <c r="E15" s="106" t="s">
        <v>115</v>
      </c>
      <c r="F15" s="107" t="s">
        <v>119</v>
      </c>
      <c r="G15" s="107">
        <v>1.49</v>
      </c>
      <c r="H15" s="107" t="s">
        <v>120</v>
      </c>
      <c r="I15" s="107">
        <f>G15*H15</f>
        <v>1.49</v>
      </c>
    </row>
    <row r="16" spans="2:9" ht="42.6" customHeight="1">
      <c r="B16" s="107" t="s">
        <v>118</v>
      </c>
      <c r="C16" s="107" t="s">
        <v>125</v>
      </c>
      <c r="D16" s="106" t="s">
        <v>126</v>
      </c>
      <c r="E16" s="106" t="s">
        <v>115</v>
      </c>
      <c r="F16" s="107" t="s">
        <v>119</v>
      </c>
      <c r="G16" s="107">
        <v>0.6</v>
      </c>
      <c r="H16" s="107" t="s">
        <v>120</v>
      </c>
      <c r="I16" s="107">
        <f>G16*H16</f>
        <v>0.6</v>
      </c>
    </row>
    <row r="17" spans="2:9" ht="28.35" customHeight="1">
      <c r="B17" s="107" t="s">
        <v>118</v>
      </c>
      <c r="C17" s="107" t="s">
        <v>127</v>
      </c>
      <c r="D17" s="106" t="s">
        <v>128</v>
      </c>
      <c r="E17" s="106" t="s">
        <v>115</v>
      </c>
      <c r="F17" s="107" t="s">
        <v>119</v>
      </c>
      <c r="G17" s="107">
        <v>6.07</v>
      </c>
      <c r="H17" s="107" t="s">
        <v>120</v>
      </c>
      <c r="I17" s="107">
        <f>G17*H17</f>
        <v>6.07</v>
      </c>
    </row>
    <row r="18" spans="2:9" ht="42.6" customHeight="1">
      <c r="B18" s="107" t="s">
        <v>118</v>
      </c>
      <c r="C18" s="107" t="s">
        <v>129</v>
      </c>
      <c r="D18" s="106" t="s">
        <v>130</v>
      </c>
      <c r="E18" s="106" t="s">
        <v>115</v>
      </c>
      <c r="F18" s="107" t="s">
        <v>119</v>
      </c>
      <c r="G18" s="107">
        <v>37.53</v>
      </c>
      <c r="H18" s="107" t="s">
        <v>120</v>
      </c>
      <c r="I18" s="107">
        <f>G18*H18</f>
        <v>37.53</v>
      </c>
    </row>
    <row r="19" spans="2:9" ht="28.35" customHeight="1"/>
    <row r="20" spans="2:9" ht="17.100000000000001" customHeight="1">
      <c r="B20" s="281" t="s">
        <v>135</v>
      </c>
      <c r="C20" s="282"/>
      <c r="D20" s="282"/>
      <c r="E20" s="282"/>
      <c r="F20" s="282"/>
      <c r="G20" s="282"/>
      <c r="H20" s="282"/>
      <c r="I20" s="283"/>
    </row>
    <row r="21" spans="2:9" ht="17.100000000000001" customHeight="1">
      <c r="B21" s="274" t="s">
        <v>109</v>
      </c>
      <c r="C21" s="275"/>
      <c r="D21" s="279" t="s">
        <v>133</v>
      </c>
      <c r="E21" s="277"/>
      <c r="F21" s="277"/>
      <c r="G21" s="277"/>
      <c r="H21" s="277"/>
      <c r="I21" s="278"/>
    </row>
    <row r="22" spans="2:9" ht="17.100000000000001" customHeight="1">
      <c r="B22" s="274" t="s">
        <v>97</v>
      </c>
      <c r="C22" s="275"/>
      <c r="D22" s="279" t="s">
        <v>134</v>
      </c>
      <c r="E22" s="277"/>
      <c r="F22" s="277"/>
      <c r="G22" s="277"/>
      <c r="H22" s="277"/>
      <c r="I22" s="278"/>
    </row>
    <row r="23" spans="2:9" ht="17.100000000000001" customHeight="1">
      <c r="B23" s="274" t="s">
        <v>112</v>
      </c>
      <c r="C23" s="275"/>
      <c r="D23" s="276" t="str">
        <f>D7</f>
        <v>10/2023</v>
      </c>
      <c r="E23" s="277"/>
      <c r="F23" s="277"/>
      <c r="G23" s="277"/>
      <c r="H23" s="277"/>
      <c r="I23" s="278"/>
    </row>
    <row r="24" spans="2:9" ht="17.100000000000001" customHeight="1">
      <c r="B24" s="274" t="s">
        <v>113</v>
      </c>
      <c r="C24" s="275"/>
      <c r="D24" s="279" t="str">
        <f>D8</f>
        <v>Rio Grande do Sul</v>
      </c>
      <c r="E24" s="277"/>
      <c r="F24" s="277"/>
      <c r="G24" s="277"/>
      <c r="H24" s="277"/>
      <c r="I24" s="278"/>
    </row>
    <row r="25" spans="2:9" ht="17.100000000000001" customHeight="1">
      <c r="B25" s="274" t="s">
        <v>114</v>
      </c>
      <c r="C25" s="275"/>
      <c r="D25" s="279" t="s">
        <v>115</v>
      </c>
      <c r="E25" s="277"/>
      <c r="F25" s="277"/>
      <c r="G25" s="277"/>
      <c r="H25" s="277"/>
      <c r="I25" s="278"/>
    </row>
    <row r="26" spans="2:9" ht="17.100000000000001" customHeight="1">
      <c r="B26" s="274" t="s">
        <v>98</v>
      </c>
      <c r="C26" s="275"/>
      <c r="D26" s="279" t="s">
        <v>104</v>
      </c>
      <c r="E26" s="277"/>
      <c r="F26" s="277"/>
      <c r="G26" s="277"/>
      <c r="H26" s="277"/>
      <c r="I26" s="278"/>
    </row>
    <row r="27" spans="2:9" ht="23.85" customHeight="1">
      <c r="B27" s="270" t="s">
        <v>116</v>
      </c>
      <c r="C27" s="270"/>
      <c r="D27" s="271">
        <f>SUM(I30:I32)</f>
        <v>6.95</v>
      </c>
      <c r="E27" s="272"/>
      <c r="F27" s="272"/>
      <c r="G27" s="272"/>
      <c r="H27" s="272"/>
      <c r="I27" s="273"/>
    </row>
    <row r="28" spans="2:9" ht="15.75" customHeight="1">
      <c r="B28" s="103"/>
      <c r="C28" s="103"/>
      <c r="D28" s="104"/>
      <c r="E28" s="104"/>
      <c r="F28" s="104"/>
      <c r="G28" s="104"/>
      <c r="H28" s="104"/>
      <c r="I28" s="104"/>
    </row>
    <row r="29" spans="2:9" ht="29.65" customHeight="1">
      <c r="B29" s="105"/>
      <c r="C29" s="105" t="s">
        <v>132</v>
      </c>
      <c r="D29" s="105" t="s">
        <v>97</v>
      </c>
      <c r="E29" s="105" t="s">
        <v>114</v>
      </c>
      <c r="F29" s="105" t="s">
        <v>98</v>
      </c>
      <c r="G29" s="105" t="s">
        <v>116</v>
      </c>
      <c r="H29" s="105" t="s">
        <v>117</v>
      </c>
      <c r="I29" s="105" t="s">
        <v>116</v>
      </c>
    </row>
    <row r="30" spans="2:9" ht="28.35" customHeight="1">
      <c r="B30" s="107" t="s">
        <v>118</v>
      </c>
      <c r="C30" s="107" t="s">
        <v>121</v>
      </c>
      <c r="D30" s="106" t="s">
        <v>122</v>
      </c>
      <c r="E30" s="106" t="s">
        <v>115</v>
      </c>
      <c r="F30" s="107" t="s">
        <v>119</v>
      </c>
      <c r="G30" s="107">
        <f>G14</f>
        <v>4.8600000000000003</v>
      </c>
      <c r="H30" s="107" t="s">
        <v>120</v>
      </c>
      <c r="I30" s="107">
        <f>G30*H30</f>
        <v>4.8600000000000003</v>
      </c>
    </row>
    <row r="31" spans="2:9" ht="28.35" customHeight="1">
      <c r="B31" s="107" t="s">
        <v>118</v>
      </c>
      <c r="C31" s="107" t="s">
        <v>123</v>
      </c>
      <c r="D31" s="106" t="s">
        <v>124</v>
      </c>
      <c r="E31" s="106" t="s">
        <v>115</v>
      </c>
      <c r="F31" s="107" t="s">
        <v>119</v>
      </c>
      <c r="G31" s="107">
        <f>G15</f>
        <v>1.49</v>
      </c>
      <c r="H31" s="107" t="s">
        <v>120</v>
      </c>
      <c r="I31" s="107">
        <f>G31*H31</f>
        <v>1.49</v>
      </c>
    </row>
    <row r="32" spans="2:9" ht="42.6" customHeight="1">
      <c r="B32" s="107" t="s">
        <v>118</v>
      </c>
      <c r="C32" s="107" t="s">
        <v>125</v>
      </c>
      <c r="D32" s="106" t="s">
        <v>126</v>
      </c>
      <c r="E32" s="106" t="s">
        <v>115</v>
      </c>
      <c r="F32" s="107" t="s">
        <v>119</v>
      </c>
      <c r="G32" s="107">
        <f>G16</f>
        <v>0.6</v>
      </c>
      <c r="H32" s="107" t="s">
        <v>120</v>
      </c>
      <c r="I32" s="107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3"/>
  <sheetViews>
    <sheetView showGridLines="0" zoomScaleNormal="100" workbookViewId="0">
      <selection activeCell="F24" sqref="F24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85" t="str">
        <f>"RELAÇÃO DE UNIDADES DO "&amp;'Valor da Contratação'!B7&amp;""</f>
        <v>RELAÇÃO DE UNIDADES DO POLO IX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2:14" s="7" customFormat="1" ht="15" customHeight="1"/>
    <row r="4" spans="2:14" ht="66.75" customHeight="1">
      <c r="B4" s="71" t="s">
        <v>136</v>
      </c>
      <c r="C4" s="71" t="s">
        <v>8</v>
      </c>
      <c r="D4" s="71" t="s">
        <v>33</v>
      </c>
      <c r="E4" s="71" t="s">
        <v>137</v>
      </c>
      <c r="F4" s="71" t="s">
        <v>138</v>
      </c>
      <c r="G4" s="71" t="s">
        <v>139</v>
      </c>
      <c r="H4" s="71" t="s">
        <v>63</v>
      </c>
      <c r="I4" s="71" t="s">
        <v>140</v>
      </c>
      <c r="J4" s="71" t="s">
        <v>141</v>
      </c>
      <c r="K4" s="71" t="s">
        <v>142</v>
      </c>
      <c r="L4" s="71" t="s">
        <v>143</v>
      </c>
      <c r="M4" s="71" t="s">
        <v>144</v>
      </c>
      <c r="N4" s="71" t="s">
        <v>145</v>
      </c>
    </row>
    <row r="5" spans="2:14" ht="18" customHeight="1">
      <c r="B5" s="11" t="s">
        <v>193</v>
      </c>
      <c r="C5" s="11" t="s">
        <v>192</v>
      </c>
      <c r="D5" s="55" t="s">
        <v>194</v>
      </c>
      <c r="E5" s="56" t="s">
        <v>195</v>
      </c>
      <c r="F5" s="50">
        <v>3.83</v>
      </c>
      <c r="G5" s="57">
        <v>0.03</v>
      </c>
      <c r="H5" s="57">
        <f>HLOOKUP(G5,BDI!$C$19:$I$30,12,)</f>
        <v>0.2979</v>
      </c>
      <c r="I5" s="52">
        <v>368.32</v>
      </c>
      <c r="J5" s="52">
        <v>280.32</v>
      </c>
      <c r="K5" s="52">
        <v>88</v>
      </c>
      <c r="L5" s="52">
        <v>0</v>
      </c>
      <c r="M5" s="52" t="s">
        <v>146</v>
      </c>
      <c r="N5" s="52" t="s">
        <v>146</v>
      </c>
    </row>
    <row r="6" spans="2:14" ht="18" customHeight="1">
      <c r="B6" s="11" t="s">
        <v>193</v>
      </c>
      <c r="C6" s="11" t="s">
        <v>192</v>
      </c>
      <c r="D6" s="55" t="s">
        <v>196</v>
      </c>
      <c r="E6" s="58" t="s">
        <v>197</v>
      </c>
      <c r="F6" s="50">
        <v>4.7</v>
      </c>
      <c r="G6" s="57">
        <v>0.02</v>
      </c>
      <c r="H6" s="57">
        <f>HLOOKUP(G6,BDI!$C$19:$I$30,12,)</f>
        <v>0.28349999999999997</v>
      </c>
      <c r="I6" s="52">
        <v>2205.75</v>
      </c>
      <c r="J6" s="52">
        <v>735.25</v>
      </c>
      <c r="K6" s="52">
        <v>735.25</v>
      </c>
      <c r="L6" s="52">
        <v>735.25</v>
      </c>
      <c r="M6" s="52" t="s">
        <v>146</v>
      </c>
      <c r="N6" s="52" t="s">
        <v>146</v>
      </c>
    </row>
    <row r="7" spans="2:14" ht="18" customHeight="1">
      <c r="B7" s="11" t="s">
        <v>193</v>
      </c>
      <c r="C7" s="11" t="s">
        <v>192</v>
      </c>
      <c r="D7" s="55" t="s">
        <v>198</v>
      </c>
      <c r="E7" s="58" t="s">
        <v>199</v>
      </c>
      <c r="F7" s="50">
        <v>4.33</v>
      </c>
      <c r="G7" s="57">
        <v>0.03</v>
      </c>
      <c r="H7" s="57">
        <f>HLOOKUP(G7,BDI!$C$19:$I$30,12,)</f>
        <v>0.2979</v>
      </c>
      <c r="I7" s="52">
        <v>824.48</v>
      </c>
      <c r="J7" s="52">
        <v>416.95</v>
      </c>
      <c r="K7" s="52">
        <v>407.53</v>
      </c>
      <c r="L7" s="52">
        <v>0</v>
      </c>
      <c r="M7" s="52" t="s">
        <v>146</v>
      </c>
      <c r="N7" s="52" t="s">
        <v>147</v>
      </c>
    </row>
    <row r="8" spans="2:14" ht="18" customHeight="1">
      <c r="B8" s="11" t="s">
        <v>192</v>
      </c>
      <c r="C8" s="11" t="s">
        <v>192</v>
      </c>
      <c r="D8" s="55" t="s">
        <v>200</v>
      </c>
      <c r="E8" s="56" t="s">
        <v>201</v>
      </c>
      <c r="F8" s="50">
        <v>1.62</v>
      </c>
      <c r="G8" s="57">
        <v>0.03</v>
      </c>
      <c r="H8" s="57">
        <f>HLOOKUP(G8,BDI!$C$19:$I$30,12,)</f>
        <v>0.2979</v>
      </c>
      <c r="I8" s="52">
        <v>2634.28</v>
      </c>
      <c r="J8" s="52">
        <v>991.45</v>
      </c>
      <c r="K8" s="52">
        <v>971.83</v>
      </c>
      <c r="L8" s="52">
        <v>671</v>
      </c>
      <c r="M8" s="52" t="s">
        <v>147</v>
      </c>
      <c r="N8" s="52" t="s">
        <v>147</v>
      </c>
    </row>
    <row r="9" spans="2:14" ht="18" customHeight="1">
      <c r="B9" s="11" t="s">
        <v>192</v>
      </c>
      <c r="C9" s="11" t="s">
        <v>192</v>
      </c>
      <c r="D9" s="55" t="s">
        <v>202</v>
      </c>
      <c r="E9" s="56" t="s">
        <v>203</v>
      </c>
      <c r="F9" s="50">
        <v>2.23</v>
      </c>
      <c r="G9" s="57">
        <v>0.02</v>
      </c>
      <c r="H9" s="57">
        <f>HLOOKUP(G9,BDI!$C$19:$I$30,12,)</f>
        <v>0.28349999999999997</v>
      </c>
      <c r="I9" s="52">
        <v>548.83000000000004</v>
      </c>
      <c r="J9" s="52">
        <v>421.87</v>
      </c>
      <c r="K9" s="52">
        <v>126.96</v>
      </c>
      <c r="L9" s="52">
        <v>0</v>
      </c>
      <c r="M9" s="52" t="s">
        <v>146</v>
      </c>
      <c r="N9" s="52" t="s">
        <v>147</v>
      </c>
    </row>
    <row r="10" spans="2:14" ht="18" customHeight="1">
      <c r="B10" s="11" t="s">
        <v>192</v>
      </c>
      <c r="C10" s="11" t="s">
        <v>192</v>
      </c>
      <c r="D10" s="55" t="s">
        <v>204</v>
      </c>
      <c r="E10" s="56" t="s">
        <v>205</v>
      </c>
      <c r="F10" s="50">
        <v>2.5299999999999998</v>
      </c>
      <c r="G10" s="57">
        <v>0.05</v>
      </c>
      <c r="H10" s="57">
        <f>HLOOKUP(G10,BDI!$C$19:$I$30,12,)</f>
        <v>0.32779999999999998</v>
      </c>
      <c r="I10" s="52">
        <v>2708.27</v>
      </c>
      <c r="J10" s="52">
        <v>1355.18</v>
      </c>
      <c r="K10" s="52">
        <v>1078.3</v>
      </c>
      <c r="L10" s="52">
        <v>274.79000000000002</v>
      </c>
      <c r="M10" s="52" t="s">
        <v>146</v>
      </c>
      <c r="N10" s="52" t="s">
        <v>147</v>
      </c>
    </row>
    <row r="11" spans="2:14" ht="18" customHeight="1">
      <c r="B11" s="11" t="s">
        <v>192</v>
      </c>
      <c r="C11" s="11" t="s">
        <v>192</v>
      </c>
      <c r="D11" s="55" t="s">
        <v>206</v>
      </c>
      <c r="E11" s="56" t="s">
        <v>207</v>
      </c>
      <c r="F11" s="50">
        <v>2.37</v>
      </c>
      <c r="G11" s="57">
        <v>0.04</v>
      </c>
      <c r="H11" s="57">
        <f>HLOOKUP(G11,BDI!$C$19:$I$30,12,)</f>
        <v>0.31269999999999998</v>
      </c>
      <c r="I11" s="52">
        <v>798.65</v>
      </c>
      <c r="J11" s="52">
        <v>287.86</v>
      </c>
      <c r="K11" s="52">
        <v>55.73</v>
      </c>
      <c r="L11" s="52">
        <v>455.06</v>
      </c>
      <c r="M11" s="52" t="s">
        <v>146</v>
      </c>
      <c r="N11" s="52" t="s">
        <v>146</v>
      </c>
    </row>
    <row r="12" spans="2:14" ht="18" customHeight="1">
      <c r="B12" s="11" t="s">
        <v>192</v>
      </c>
      <c r="C12" s="11" t="s">
        <v>192</v>
      </c>
      <c r="D12" s="55" t="s">
        <v>208</v>
      </c>
      <c r="E12" s="56" t="s">
        <v>209</v>
      </c>
      <c r="F12" s="50">
        <v>1.6</v>
      </c>
      <c r="G12" s="57">
        <v>0.03</v>
      </c>
      <c r="H12" s="57">
        <f>HLOOKUP(G12,BDI!$C$19:$I$30,12,)</f>
        <v>0.2979</v>
      </c>
      <c r="I12" s="52">
        <v>334.4</v>
      </c>
      <c r="J12" s="52">
        <v>296</v>
      </c>
      <c r="K12" s="52">
        <v>38.4</v>
      </c>
      <c r="L12" s="52">
        <v>0</v>
      </c>
      <c r="M12" s="52" t="s">
        <v>146</v>
      </c>
      <c r="N12" s="52" t="s">
        <v>146</v>
      </c>
    </row>
    <row r="13" spans="2:14" ht="18" customHeight="1">
      <c r="B13" s="11" t="s">
        <v>192</v>
      </c>
      <c r="C13" s="11" t="s">
        <v>192</v>
      </c>
      <c r="D13" s="55" t="s">
        <v>210</v>
      </c>
      <c r="E13" s="56" t="s">
        <v>211</v>
      </c>
      <c r="F13" s="50">
        <v>3.53</v>
      </c>
      <c r="G13" s="57">
        <v>0.02</v>
      </c>
      <c r="H13" s="57">
        <f>HLOOKUP(G13,BDI!$C$19:$I$30,12,)</f>
        <v>0.28349999999999997</v>
      </c>
      <c r="I13" s="52">
        <v>1100.01</v>
      </c>
      <c r="J13" s="52">
        <v>369.82</v>
      </c>
      <c r="K13" s="52">
        <v>462.06</v>
      </c>
      <c r="L13" s="52">
        <v>268.13</v>
      </c>
      <c r="M13" s="52" t="s">
        <v>147</v>
      </c>
      <c r="N13" s="52" t="s">
        <v>146</v>
      </c>
    </row>
    <row r="14" spans="2:14" ht="18" customHeight="1">
      <c r="B14" s="11" t="s">
        <v>192</v>
      </c>
      <c r="C14" s="11" t="s">
        <v>192</v>
      </c>
      <c r="D14" s="55" t="s">
        <v>212</v>
      </c>
      <c r="E14" s="56" t="s">
        <v>213</v>
      </c>
      <c r="F14" s="50">
        <v>2.83</v>
      </c>
      <c r="G14" s="57">
        <v>0.03</v>
      </c>
      <c r="H14" s="57">
        <f>HLOOKUP(G14,BDI!$C$19:$I$30,12,)</f>
        <v>0.2979</v>
      </c>
      <c r="I14" s="52">
        <v>1798.01</v>
      </c>
      <c r="J14" s="52">
        <v>530.66</v>
      </c>
      <c r="K14" s="52">
        <v>728.84</v>
      </c>
      <c r="L14" s="52">
        <v>538.51</v>
      </c>
      <c r="M14" s="52" t="s">
        <v>146</v>
      </c>
      <c r="N14" s="52" t="s">
        <v>146</v>
      </c>
    </row>
    <row r="15" spans="2:14" ht="18" customHeight="1">
      <c r="B15" s="11" t="s">
        <v>192</v>
      </c>
      <c r="C15" s="11" t="s">
        <v>192</v>
      </c>
      <c r="D15" s="55" t="s">
        <v>214</v>
      </c>
      <c r="E15" s="56" t="s">
        <v>215</v>
      </c>
      <c r="F15" s="50" t="s">
        <v>232</v>
      </c>
      <c r="G15" s="57">
        <v>0.03</v>
      </c>
      <c r="H15" s="57">
        <f>HLOOKUP(G15,BDI!$C$19:$I$30,12,)</f>
        <v>0.2979</v>
      </c>
      <c r="I15" s="52">
        <v>321.99</v>
      </c>
      <c r="J15" s="52">
        <v>317.68</v>
      </c>
      <c r="K15" s="52">
        <v>4.3099999999999996</v>
      </c>
      <c r="L15" s="52">
        <v>0</v>
      </c>
      <c r="M15" s="52" t="s">
        <v>146</v>
      </c>
      <c r="N15" s="52" t="s">
        <v>147</v>
      </c>
    </row>
    <row r="16" spans="2:14" ht="18" customHeight="1">
      <c r="B16" s="11" t="s">
        <v>192</v>
      </c>
      <c r="C16" s="11" t="s">
        <v>192</v>
      </c>
      <c r="D16" s="55" t="s">
        <v>216</v>
      </c>
      <c r="E16" s="56" t="s">
        <v>217</v>
      </c>
      <c r="F16" s="50">
        <v>2.5</v>
      </c>
      <c r="G16" s="57">
        <v>0.05</v>
      </c>
      <c r="H16" s="57">
        <f>HLOOKUP(G16,BDI!$C$19:$I$30,12,)</f>
        <v>0.32779999999999998</v>
      </c>
      <c r="I16" s="52">
        <v>334.4</v>
      </c>
      <c r="J16" s="52">
        <v>296</v>
      </c>
      <c r="K16" s="52">
        <v>38.4</v>
      </c>
      <c r="L16" s="52">
        <v>0</v>
      </c>
      <c r="M16" s="52" t="s">
        <v>146</v>
      </c>
      <c r="N16" s="52" t="s">
        <v>146</v>
      </c>
    </row>
    <row r="17" spans="2:14" ht="18" customHeight="1">
      <c r="B17" s="11" t="s">
        <v>192</v>
      </c>
      <c r="C17" s="11" t="s">
        <v>192</v>
      </c>
      <c r="D17" s="55" t="s">
        <v>218</v>
      </c>
      <c r="E17" s="56" t="s">
        <v>219</v>
      </c>
      <c r="F17" s="50">
        <v>2.73</v>
      </c>
      <c r="G17" s="57">
        <v>2.5000000000000001E-2</v>
      </c>
      <c r="H17" s="57">
        <f>HLOOKUP(G17,BDI!$C$19:$I$30,12,)</f>
        <v>0.29070000000000001</v>
      </c>
      <c r="I17" s="52">
        <v>548.83000000000004</v>
      </c>
      <c r="J17" s="52">
        <v>421.87</v>
      </c>
      <c r="K17" s="52">
        <v>126.96</v>
      </c>
      <c r="L17" s="52">
        <v>0</v>
      </c>
      <c r="M17" s="52" t="s">
        <v>146</v>
      </c>
      <c r="N17" s="52" t="s">
        <v>147</v>
      </c>
    </row>
    <row r="18" spans="2:14" ht="18" customHeight="1">
      <c r="B18" s="11" t="s">
        <v>192</v>
      </c>
      <c r="C18" s="11" t="s">
        <v>192</v>
      </c>
      <c r="D18" s="55" t="s">
        <v>220</v>
      </c>
      <c r="E18" s="56" t="s">
        <v>221</v>
      </c>
      <c r="F18" s="50">
        <v>2.27</v>
      </c>
      <c r="G18" s="57">
        <v>0.02</v>
      </c>
      <c r="H18" s="57">
        <f>HLOOKUP(G18,BDI!$C$19:$I$30,12,)</f>
        <v>0.28349999999999997</v>
      </c>
      <c r="I18" s="52">
        <v>2280.63</v>
      </c>
      <c r="J18" s="52">
        <v>742.67</v>
      </c>
      <c r="K18" s="52">
        <v>1114.42</v>
      </c>
      <c r="L18" s="52">
        <v>423.54</v>
      </c>
      <c r="M18" s="52" t="s">
        <v>147</v>
      </c>
      <c r="N18" s="52" t="s">
        <v>147</v>
      </c>
    </row>
    <row r="19" spans="2:14" ht="18" customHeight="1">
      <c r="B19" s="11" t="s">
        <v>192</v>
      </c>
      <c r="C19" s="11" t="s">
        <v>192</v>
      </c>
      <c r="D19" s="55" t="s">
        <v>222</v>
      </c>
      <c r="E19" s="56" t="s">
        <v>223</v>
      </c>
      <c r="F19" s="50">
        <v>0</v>
      </c>
      <c r="G19" s="57">
        <v>0.02</v>
      </c>
      <c r="H19" s="57">
        <f>HLOOKUP(G19,BDI!$C$19:$I$30,12,)</f>
        <v>0.28349999999999997</v>
      </c>
      <c r="I19" s="52">
        <v>3609.84</v>
      </c>
      <c r="J19" s="52">
        <v>2780.7</v>
      </c>
      <c r="K19" s="52">
        <v>629.53</v>
      </c>
      <c r="L19" s="52">
        <v>199.61</v>
      </c>
      <c r="M19" s="52" t="s">
        <v>146</v>
      </c>
      <c r="N19" s="52" t="s">
        <v>147</v>
      </c>
    </row>
    <row r="20" spans="2:14" ht="18" customHeight="1">
      <c r="B20" s="11" t="s">
        <v>173</v>
      </c>
      <c r="C20" s="11" t="s">
        <v>192</v>
      </c>
      <c r="D20" s="55" t="s">
        <v>224</v>
      </c>
      <c r="E20" s="56" t="s">
        <v>225</v>
      </c>
      <c r="F20" s="50">
        <v>6.27</v>
      </c>
      <c r="G20" s="57">
        <v>0.02</v>
      </c>
      <c r="H20" s="57">
        <f>HLOOKUP(G20,BDI!$C$19:$I$30,12,)</f>
        <v>0.28349999999999997</v>
      </c>
      <c r="I20" s="52">
        <v>461.59</v>
      </c>
      <c r="J20" s="52">
        <v>294.43</v>
      </c>
      <c r="K20" s="52">
        <v>167.16</v>
      </c>
      <c r="L20" s="52">
        <v>0</v>
      </c>
      <c r="M20" s="52" t="s">
        <v>146</v>
      </c>
      <c r="N20" s="52" t="s">
        <v>147</v>
      </c>
    </row>
    <row r="21" spans="2:14" ht="18" customHeight="1">
      <c r="B21" s="11" t="s">
        <v>173</v>
      </c>
      <c r="C21" s="11" t="s">
        <v>192</v>
      </c>
      <c r="D21" s="55" t="s">
        <v>226</v>
      </c>
      <c r="E21" s="56" t="s">
        <v>227</v>
      </c>
      <c r="F21" s="50">
        <v>6.03</v>
      </c>
      <c r="G21" s="57">
        <v>0.02</v>
      </c>
      <c r="H21" s="57">
        <f>HLOOKUP(G21,BDI!$C$19:$I$30,12,)</f>
        <v>0.28349999999999997</v>
      </c>
      <c r="I21" s="52">
        <v>2111.12</v>
      </c>
      <c r="J21" s="52">
        <v>689.74</v>
      </c>
      <c r="K21" s="52">
        <v>1262.17</v>
      </c>
      <c r="L21" s="52">
        <v>159.21</v>
      </c>
      <c r="M21" s="52" t="s">
        <v>146</v>
      </c>
      <c r="N21" s="52" t="s">
        <v>147</v>
      </c>
    </row>
    <row r="22" spans="2:14" ht="18" customHeight="1">
      <c r="B22" s="11" t="s">
        <v>173</v>
      </c>
      <c r="C22" s="11" t="s">
        <v>192</v>
      </c>
      <c r="D22" s="55" t="s">
        <v>228</v>
      </c>
      <c r="E22" s="56" t="s">
        <v>229</v>
      </c>
      <c r="F22" s="50">
        <v>5.5</v>
      </c>
      <c r="G22" s="57">
        <v>2.5000000000000001E-2</v>
      </c>
      <c r="H22" s="57">
        <f>HLOOKUP(G22,BDI!$C$19:$I$30,12,)</f>
        <v>0.29070000000000001</v>
      </c>
      <c r="I22" s="52">
        <v>949.02</v>
      </c>
      <c r="J22" s="52">
        <v>332.74</v>
      </c>
      <c r="K22" s="52">
        <v>616.28</v>
      </c>
      <c r="L22" s="52">
        <v>0</v>
      </c>
      <c r="M22" s="52" t="s">
        <v>146</v>
      </c>
      <c r="N22" s="52" t="s">
        <v>146</v>
      </c>
    </row>
    <row r="23" spans="2:14" ht="18" customHeight="1">
      <c r="B23" s="11" t="s">
        <v>173</v>
      </c>
      <c r="C23" s="11" t="s">
        <v>192</v>
      </c>
      <c r="D23" s="55" t="s">
        <v>230</v>
      </c>
      <c r="E23" s="56" t="s">
        <v>231</v>
      </c>
      <c r="F23" s="50">
        <v>6.2</v>
      </c>
      <c r="G23" s="57">
        <v>0.03</v>
      </c>
      <c r="H23" s="57">
        <f>HLOOKUP(G23,BDI!$C$19:$I$30,12,)</f>
        <v>0.2979</v>
      </c>
      <c r="I23" s="52">
        <v>950.51</v>
      </c>
      <c r="J23" s="52">
        <v>387.48</v>
      </c>
      <c r="K23" s="52">
        <v>524.38</v>
      </c>
      <c r="L23" s="52">
        <v>38.65</v>
      </c>
      <c r="M23" s="52" t="s">
        <v>146</v>
      </c>
      <c r="N23" s="52" t="s">
        <v>147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zoomScale="110" zoomScaleNormal="110" workbookViewId="0">
      <selection activeCell="L11" sqref="L11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291" t="s">
        <v>148</v>
      </c>
      <c r="C2" s="292"/>
      <c r="D2" s="292"/>
      <c r="E2" s="292"/>
      <c r="F2" s="292"/>
      <c r="G2" s="292"/>
      <c r="H2" s="292"/>
      <c r="I2" s="292"/>
      <c r="J2" s="293"/>
    </row>
    <row r="3" spans="2:10" ht="20.100000000000001" customHeight="1">
      <c r="B3" s="294" t="str">
        <f>'Valor da Contratação'!B8</f>
        <v>DESONERADA</v>
      </c>
      <c r="C3" s="295"/>
      <c r="D3" s="295"/>
      <c r="E3" s="295"/>
      <c r="F3" s="295"/>
      <c r="G3" s="295"/>
      <c r="H3" s="295"/>
      <c r="I3" s="295"/>
      <c r="J3" s="296"/>
    </row>
    <row r="4" spans="2:10" ht="15" customHeight="1">
      <c r="B4" s="47"/>
      <c r="C4" s="47"/>
      <c r="D4" s="9"/>
    </row>
    <row r="5" spans="2:10" ht="15" customHeight="1">
      <c r="B5" s="297" t="s">
        <v>149</v>
      </c>
      <c r="C5" s="298"/>
      <c r="D5" s="298"/>
      <c r="E5" s="298"/>
      <c r="F5" s="298"/>
      <c r="G5" s="298"/>
      <c r="H5" s="298"/>
      <c r="I5" s="298"/>
      <c r="J5" s="299"/>
    </row>
    <row r="6" spans="2:10" ht="15" customHeight="1">
      <c r="B6" s="74"/>
      <c r="C6" s="5"/>
      <c r="D6" s="54"/>
      <c r="E6" s="54"/>
      <c r="J6" s="75"/>
    </row>
    <row r="7" spans="2:10" ht="15" customHeight="1">
      <c r="B7" s="300" t="s">
        <v>150</v>
      </c>
      <c r="C7" s="301"/>
      <c r="D7" s="301"/>
      <c r="E7" s="301"/>
      <c r="F7" s="301"/>
      <c r="G7" s="301"/>
      <c r="H7" s="301"/>
      <c r="I7" s="301"/>
      <c r="J7" s="302"/>
    </row>
    <row r="8" spans="2:10" ht="15" customHeight="1">
      <c r="B8" s="76"/>
      <c r="C8" s="137"/>
      <c r="D8" s="54"/>
      <c r="E8" s="54"/>
      <c r="J8" s="75"/>
    </row>
    <row r="9" spans="2:10" ht="15" customHeight="1">
      <c r="B9" s="303" t="s">
        <v>151</v>
      </c>
      <c r="C9" s="304"/>
      <c r="D9" s="304"/>
      <c r="E9" s="304"/>
      <c r="F9" s="304"/>
      <c r="G9" s="304"/>
      <c r="H9" s="304"/>
      <c r="I9" s="304"/>
      <c r="J9" s="305"/>
    </row>
    <row r="10" spans="2:10" ht="15" customHeight="1">
      <c r="B10" s="288" t="s">
        <v>152</v>
      </c>
      <c r="C10" s="289"/>
      <c r="D10" s="289"/>
      <c r="E10" s="289"/>
      <c r="F10" s="289"/>
      <c r="G10" s="289"/>
      <c r="H10" s="289"/>
      <c r="I10" s="289"/>
      <c r="J10" s="290"/>
    </row>
    <row r="11" spans="2:10" ht="15" customHeight="1">
      <c r="B11" s="288" t="s">
        <v>153</v>
      </c>
      <c r="C11" s="289"/>
      <c r="D11" s="289"/>
      <c r="E11" s="289"/>
      <c r="F11" s="289"/>
      <c r="G11" s="289"/>
      <c r="H11" s="289"/>
      <c r="I11" s="289"/>
      <c r="J11" s="290"/>
    </row>
    <row r="12" spans="2:10" ht="15" customHeight="1">
      <c r="B12" s="288" t="s">
        <v>154</v>
      </c>
      <c r="C12" s="289"/>
      <c r="D12" s="289"/>
      <c r="E12" s="289"/>
      <c r="F12" s="289"/>
      <c r="G12" s="289"/>
      <c r="H12" s="289"/>
      <c r="I12" s="289"/>
      <c r="J12" s="290"/>
    </row>
    <row r="13" spans="2:10" ht="15" customHeight="1">
      <c r="B13" s="288" t="s">
        <v>155</v>
      </c>
      <c r="C13" s="289"/>
      <c r="D13" s="289"/>
      <c r="E13" s="289"/>
      <c r="F13" s="289"/>
      <c r="G13" s="289"/>
      <c r="H13" s="289"/>
      <c r="I13" s="289"/>
      <c r="J13" s="290"/>
    </row>
    <row r="14" spans="2:10" ht="15" customHeight="1">
      <c r="B14" s="288" t="s">
        <v>156</v>
      </c>
      <c r="C14" s="289"/>
      <c r="D14" s="289"/>
      <c r="E14" s="289"/>
      <c r="F14" s="289"/>
      <c r="G14" s="289"/>
      <c r="H14" s="289"/>
      <c r="I14" s="289"/>
      <c r="J14" s="290"/>
    </row>
    <row r="15" spans="2:10" ht="15" customHeight="1">
      <c r="B15" s="288" t="s">
        <v>157</v>
      </c>
      <c r="C15" s="289"/>
      <c r="D15" s="289"/>
      <c r="E15" s="289"/>
      <c r="F15" s="289"/>
      <c r="G15" s="289"/>
      <c r="H15" s="289"/>
      <c r="I15" s="289"/>
      <c r="J15" s="290"/>
    </row>
    <row r="16" spans="2:10" ht="15" customHeight="1">
      <c r="B16" s="306" t="s">
        <v>158</v>
      </c>
      <c r="C16" s="307"/>
      <c r="D16" s="307"/>
      <c r="E16" s="307"/>
      <c r="F16" s="307"/>
      <c r="G16" s="307"/>
      <c r="H16" s="307"/>
      <c r="I16" s="307"/>
      <c r="J16" s="308"/>
    </row>
    <row r="17" spans="2:10" ht="24.95" customHeight="1">
      <c r="C17" s="46"/>
      <c r="D17" s="9"/>
    </row>
    <row r="18" spans="2:10" ht="17.100000000000001" customHeight="1">
      <c r="B18" s="309" t="s">
        <v>159</v>
      </c>
      <c r="C18" s="310"/>
      <c r="D18" s="129" t="s">
        <v>139</v>
      </c>
      <c r="E18" s="129" t="s">
        <v>139</v>
      </c>
      <c r="F18" s="129" t="s">
        <v>139</v>
      </c>
      <c r="G18" s="128" t="s">
        <v>139</v>
      </c>
      <c r="H18" s="130" t="s">
        <v>139</v>
      </c>
      <c r="I18" s="130" t="s">
        <v>139</v>
      </c>
      <c r="J18" s="130" t="s">
        <v>139</v>
      </c>
    </row>
    <row r="19" spans="2:10" ht="17.100000000000001" customHeight="1">
      <c r="B19" s="311"/>
      <c r="C19" s="312"/>
      <c r="D19" s="131">
        <v>0.05</v>
      </c>
      <c r="E19" s="131">
        <v>0.04</v>
      </c>
      <c r="F19" s="131">
        <v>3.5000000000000003E-2</v>
      </c>
      <c r="G19" s="132">
        <v>0.03</v>
      </c>
      <c r="H19" s="133">
        <v>2.5000000000000001E-2</v>
      </c>
      <c r="I19" s="133">
        <v>0.02</v>
      </c>
      <c r="J19" s="133">
        <v>1.4999999999999999E-2</v>
      </c>
    </row>
    <row r="20" spans="2:10" ht="17.100000000000001" customHeight="1">
      <c r="B20" s="70" t="s">
        <v>176</v>
      </c>
      <c r="C20" s="138" t="s">
        <v>177</v>
      </c>
      <c r="D20" s="127">
        <v>0.04</v>
      </c>
      <c r="E20" s="127">
        <v>0.04</v>
      </c>
      <c r="F20" s="127">
        <v>0.04</v>
      </c>
      <c r="G20" s="127">
        <v>0.04</v>
      </c>
      <c r="H20" s="127">
        <v>0.04</v>
      </c>
      <c r="I20" s="127">
        <v>0.04</v>
      </c>
      <c r="J20" s="127">
        <v>0.04</v>
      </c>
    </row>
    <row r="21" spans="2:10" ht="17.100000000000001" customHeight="1">
      <c r="B21" s="70" t="s">
        <v>178</v>
      </c>
      <c r="C21" s="11" t="s">
        <v>179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70" t="s">
        <v>180</v>
      </c>
      <c r="C22" s="11" t="s">
        <v>181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70" t="s">
        <v>182</v>
      </c>
      <c r="C23" s="11" t="s">
        <v>183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70" t="s">
        <v>184</v>
      </c>
      <c r="C24" s="11" t="s">
        <v>185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313" t="s">
        <v>186</v>
      </c>
      <c r="C25" s="11" t="s">
        <v>187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313"/>
      <c r="C26" s="70" t="s">
        <v>188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313"/>
      <c r="C27" s="70" t="s">
        <v>139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313"/>
      <c r="C28" s="70" t="s">
        <v>189</v>
      </c>
      <c r="D28" s="60">
        <v>4.4999999999999998E-2</v>
      </c>
      <c r="E28" s="60">
        <v>4.4999999999999998E-2</v>
      </c>
      <c r="F28" s="60">
        <v>4.4999999999999998E-2</v>
      </c>
      <c r="G28" s="60">
        <v>4.4999999999999998E-2</v>
      </c>
      <c r="H28" s="60">
        <v>4.4999999999999998E-2</v>
      </c>
      <c r="I28" s="60">
        <v>4.4999999999999998E-2</v>
      </c>
      <c r="J28" s="60">
        <v>4.4999999999999998E-2</v>
      </c>
    </row>
    <row r="29" spans="2:10" ht="20.100000000000001" customHeight="1">
      <c r="B29" s="314" t="s">
        <v>160</v>
      </c>
      <c r="C29" s="315"/>
      <c r="D29" s="139">
        <f>(((1+D22+D20+D23)*(1+D21)*(1+D24))/(1-(D25+D26+D27+D28))-1)</f>
        <v>0.327811006493955</v>
      </c>
      <c r="E29" s="139">
        <f t="shared" ref="E29:J29" si="0">(((1+E22+E20+E23)*(1+E21)*(1+E24))/(1-(E25+E26+E27+E28))-1)</f>
        <v>0.31269648166192376</v>
      </c>
      <c r="F29" s="139">
        <f t="shared" si="0"/>
        <v>0.30526752590831929</v>
      </c>
      <c r="G29" s="139">
        <f t="shared" si="0"/>
        <v>0.29792218248733837</v>
      </c>
      <c r="H29" s="139">
        <f t="shared" si="0"/>
        <v>0.29065904772244</v>
      </c>
      <c r="I29" s="139">
        <f t="shared" si="0"/>
        <v>0.28347674918197008</v>
      </c>
      <c r="J29" s="139">
        <f t="shared" si="0"/>
        <v>0.27637394481460986</v>
      </c>
    </row>
    <row r="30" spans="2:10" ht="20.100000000000001" customHeight="1">
      <c r="B30" s="316" t="s">
        <v>161</v>
      </c>
      <c r="C30" s="317"/>
      <c r="D30" s="69">
        <f t="shared" ref="D30:J30" si="1">ROUND(D29,4)</f>
        <v>0.32779999999999998</v>
      </c>
      <c r="E30" s="69">
        <f t="shared" si="1"/>
        <v>0.31269999999999998</v>
      </c>
      <c r="F30" s="69">
        <f t="shared" si="1"/>
        <v>0.30530000000000002</v>
      </c>
      <c r="G30" s="69">
        <f t="shared" si="1"/>
        <v>0.2979</v>
      </c>
      <c r="H30" s="69">
        <f t="shared" si="1"/>
        <v>0.29070000000000001</v>
      </c>
      <c r="I30" s="69">
        <f t="shared" si="1"/>
        <v>0.28349999999999997</v>
      </c>
      <c r="J30" s="69">
        <f t="shared" si="1"/>
        <v>0.27639999999999998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309" t="s">
        <v>162</v>
      </c>
      <c r="C32" s="310"/>
      <c r="D32" s="129" t="s">
        <v>139</v>
      </c>
      <c r="E32" s="129" t="s">
        <v>139</v>
      </c>
      <c r="F32" s="129" t="s">
        <v>139</v>
      </c>
      <c r="G32" s="128" t="s">
        <v>139</v>
      </c>
      <c r="H32" s="130" t="s">
        <v>139</v>
      </c>
      <c r="I32" s="130" t="s">
        <v>139</v>
      </c>
      <c r="J32" s="130" t="s">
        <v>139</v>
      </c>
    </row>
    <row r="33" spans="2:10" ht="17.100000000000001" customHeight="1">
      <c r="B33" s="311"/>
      <c r="C33" s="312"/>
      <c r="D33" s="131">
        <v>0.05</v>
      </c>
      <c r="E33" s="131">
        <v>0.04</v>
      </c>
      <c r="F33" s="131">
        <v>3.5000000000000003E-2</v>
      </c>
      <c r="G33" s="132">
        <v>0.03</v>
      </c>
      <c r="H33" s="133">
        <v>2.5000000000000001E-2</v>
      </c>
      <c r="I33" s="133">
        <v>0.02</v>
      </c>
      <c r="J33" s="133">
        <v>1.4999999999999999E-2</v>
      </c>
    </row>
    <row r="34" spans="2:10" ht="17.100000000000001" customHeight="1">
      <c r="B34" s="70" t="s">
        <v>176</v>
      </c>
      <c r="C34" s="138" t="s">
        <v>177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70" t="s">
        <v>178</v>
      </c>
      <c r="C35" s="11" t="s">
        <v>179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70" t="s">
        <v>180</v>
      </c>
      <c r="C36" s="11" t="s">
        <v>181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70" t="s">
        <v>182</v>
      </c>
      <c r="C37" s="11" t="s">
        <v>183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70" t="s">
        <v>184</v>
      </c>
      <c r="C38" s="11" t="s">
        <v>185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313" t="s">
        <v>186</v>
      </c>
      <c r="C39" s="11" t="s">
        <v>187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313"/>
      <c r="C40" s="70" t="s">
        <v>188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313"/>
      <c r="C41" s="70" t="s">
        <v>139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313"/>
      <c r="C42" s="70" t="s">
        <v>189</v>
      </c>
      <c r="D42" s="60">
        <v>4.4999999999999998E-2</v>
      </c>
      <c r="E42" s="60">
        <v>4.4999999999999998E-2</v>
      </c>
      <c r="F42" s="60">
        <v>4.4999999999999998E-2</v>
      </c>
      <c r="G42" s="60">
        <v>4.4999999999999998E-2</v>
      </c>
      <c r="H42" s="60">
        <v>4.4999999999999998E-2</v>
      </c>
      <c r="I42" s="60">
        <v>4.4999999999999998E-2</v>
      </c>
      <c r="J42" s="60">
        <v>4.4999999999999998E-2</v>
      </c>
    </row>
    <row r="43" spans="2:10" ht="20.100000000000001" customHeight="1">
      <c r="B43" s="318" t="s">
        <v>160</v>
      </c>
      <c r="C43" s="319"/>
      <c r="D43" s="139">
        <f>(((1+D36+D34+D37)*(1+D35)*(1+D38))/(1-(D39+D40+D41+D42))-1)</f>
        <v>0.20925856497550321</v>
      </c>
      <c r="E43" s="139">
        <f t="shared" ref="E43:J43" si="2">(((1+E36+E34+E37)*(1+E35)*(1+E38))/(1-(E39+E40+E41+E42))-1)</f>
        <v>0.20925856497550321</v>
      </c>
      <c r="F43" s="139">
        <f t="shared" si="2"/>
        <v>0.20925856497550321</v>
      </c>
      <c r="G43" s="139">
        <f t="shared" si="2"/>
        <v>0.20925856497550321</v>
      </c>
      <c r="H43" s="139">
        <f t="shared" si="2"/>
        <v>0.20925856497550321</v>
      </c>
      <c r="I43" s="139">
        <f t="shared" si="2"/>
        <v>0.20925856497550321</v>
      </c>
      <c r="J43" s="139">
        <f t="shared" si="2"/>
        <v>0.20925856497550321</v>
      </c>
    </row>
    <row r="44" spans="2:10" ht="20.100000000000001" customHeight="1">
      <c r="B44" s="320" t="s">
        <v>161</v>
      </c>
      <c r="C44" s="321"/>
      <c r="D44" s="69">
        <f t="shared" ref="D44:J44" si="3">ROUND(D43,4)</f>
        <v>0.20930000000000001</v>
      </c>
      <c r="E44" s="69">
        <f t="shared" si="3"/>
        <v>0.20930000000000001</v>
      </c>
      <c r="F44" s="69">
        <f t="shared" si="3"/>
        <v>0.20930000000000001</v>
      </c>
      <c r="G44" s="69">
        <f t="shared" si="3"/>
        <v>0.20930000000000001</v>
      </c>
      <c r="H44" s="69">
        <f t="shared" si="3"/>
        <v>0.20930000000000001</v>
      </c>
      <c r="I44" s="69">
        <f t="shared" si="3"/>
        <v>0.20930000000000001</v>
      </c>
      <c r="J44" s="69">
        <f t="shared" si="3"/>
        <v>0.20930000000000001</v>
      </c>
    </row>
    <row r="65536" ht="12.75" customHeight="1"/>
    <row r="65537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4"/>
  <sheetViews>
    <sheetView showGridLines="0" zoomScale="110" zoomScaleNormal="110" workbookViewId="0">
      <selection activeCell="G15" sqref="G15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2" t="str">
        <f>"DIVISÃO DOS CUSTOS POR ALÍQUOTA DE ISSQN - "&amp;'Valor da Contratação'!B7&amp;""</f>
        <v>DIVISÃO DOS CUSTOS POR ALÍQUOTA DE ISSQN - POLO IX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249" ht="17.100000000000001" customHeight="1"/>
    <row r="4" spans="2:249" ht="45.75" customHeight="1">
      <c r="B4" s="110" t="s">
        <v>33</v>
      </c>
      <c r="C4" s="111" t="s">
        <v>163</v>
      </c>
      <c r="D4" s="111" t="s">
        <v>164</v>
      </c>
      <c r="E4" s="111" t="s">
        <v>165</v>
      </c>
      <c r="F4" s="68"/>
      <c r="G4" s="111" t="s">
        <v>166</v>
      </c>
      <c r="H4" s="111" t="s">
        <v>167</v>
      </c>
      <c r="I4" s="111" t="s">
        <v>168</v>
      </c>
      <c r="J4" s="111" t="s">
        <v>169</v>
      </c>
      <c r="K4" s="111" t="s">
        <v>170</v>
      </c>
      <c r="L4" s="111" t="s">
        <v>171</v>
      </c>
      <c r="M4" s="111" t="s">
        <v>172</v>
      </c>
    </row>
    <row r="5" spans="2:249" ht="15" customHeight="1">
      <c r="B5" s="92" t="str">
        <f>'Base Passo Fundo'!B7</f>
        <v>APS Nova Prata</v>
      </c>
      <c r="C5" s="108">
        <f>VLOOKUP(B5,Unidades!$D$5:$G$23,4,)</f>
        <v>0.03</v>
      </c>
      <c r="D5" s="109">
        <f>'Base Passo Fundo'!AD7*12+'Base Passo Fundo'!AE7*4+'Base Passo Fundo'!AF7*2+'Base Passo Fundo'!AG7</f>
        <v>10190.771997587206</v>
      </c>
      <c r="E5" s="109">
        <f>'Base Passo Fundo'!AK7*12+'Base Passo Fundo'!AL7*4+'Base Passo Fundo'!AM7*2+'Base Passo Fundo'!AN7</f>
        <v>13226.602975668435</v>
      </c>
      <c r="G5" s="112">
        <v>0.02</v>
      </c>
      <c r="H5" s="114">
        <f t="shared" ref="H5:H11" si="0">SUMIF(C$5:C$23,G5,D$5:D$23)</f>
        <v>97636.124632025836</v>
      </c>
      <c r="I5" s="114">
        <f t="shared" ref="I5:I11" si="1">SUMIF(C$5:C$23,G5,E$5:E$23)</f>
        <v>125315.96596520518</v>
      </c>
      <c r="J5" s="114">
        <f t="shared" ref="J5:K11" si="2">H5*4</f>
        <v>390544.49852810334</v>
      </c>
      <c r="K5" s="114">
        <f t="shared" si="2"/>
        <v>501263.86386082071</v>
      </c>
      <c r="L5" s="113">
        <f>H5/H$13</f>
        <v>0.4126321736398304</v>
      </c>
      <c r="M5" s="113">
        <f t="shared" ref="L5:M11" si="3">I5/I$13</f>
        <v>0.4090398695005858</v>
      </c>
    </row>
    <row r="6" spans="2:249" ht="15" customHeight="1">
      <c r="B6" s="92" t="str">
        <f>'Base Passo Fundo'!B8</f>
        <v>APS Vacaria</v>
      </c>
      <c r="C6" s="108">
        <f>VLOOKUP(B6,Unidades!$D$5:$G$23,4,)</f>
        <v>0.02</v>
      </c>
      <c r="D6" s="109">
        <f>'Base Passo Fundo'!AD8*12+'Base Passo Fundo'!AE8*4+'Base Passo Fundo'!AF8*2+'Base Passo Fundo'!AG8</f>
        <v>12962.682663449608</v>
      </c>
      <c r="E6" s="109">
        <f>'Base Passo Fundo'!AK8*12+'Base Passo Fundo'!AL8*4+'Base Passo Fundo'!AM8*2+'Base Passo Fundo'!AN8</f>
        <v>16637.603198537574</v>
      </c>
      <c r="G6" s="112">
        <v>2.5000000000000001E-2</v>
      </c>
      <c r="H6" s="114">
        <f t="shared" si="0"/>
        <v>23957.312087308703</v>
      </c>
      <c r="I6" s="114">
        <f t="shared" si="1"/>
        <v>30921.70271108934</v>
      </c>
      <c r="J6" s="114">
        <f t="shared" si="2"/>
        <v>95829.248349234811</v>
      </c>
      <c r="K6" s="114">
        <f t="shared" si="2"/>
        <v>123686.81084435736</v>
      </c>
      <c r="L6" s="113">
        <f t="shared" si="3"/>
        <v>0.10124897724495907</v>
      </c>
      <c r="M6" s="113">
        <f t="shared" si="3"/>
        <v>0.10093054898680472</v>
      </c>
    </row>
    <row r="7" spans="2:249" ht="15" customHeight="1">
      <c r="B7" s="92" t="str">
        <f>'Base Passo Fundo'!B9</f>
        <v>APS Veranópolis</v>
      </c>
      <c r="C7" s="108">
        <f>VLOOKUP(B7,Unidades!$D$5:$G$23,4,)</f>
        <v>0.03</v>
      </c>
      <c r="D7" s="109">
        <f>'Base Passo Fundo'!AD9*12+'Base Passo Fundo'!AE9*4+'Base Passo Fundo'!AF9*2+'Base Passo Fundo'!AG9</f>
        <v>11370.746339721496</v>
      </c>
      <c r="E7" s="109">
        <f>'Base Passo Fundo'!AK9*12+'Base Passo Fundo'!AL9*4+'Base Passo Fundo'!AM9*2+'Base Passo Fundo'!AN9</f>
        <v>14758.091674324531</v>
      </c>
      <c r="G7" s="112">
        <v>0.03</v>
      </c>
      <c r="H7" s="114">
        <f t="shared" si="0"/>
        <v>82291.507363240526</v>
      </c>
      <c r="I7" s="114">
        <f t="shared" si="1"/>
        <v>106806.14740674986</v>
      </c>
      <c r="J7" s="114">
        <f t="shared" si="2"/>
        <v>329166.0294529621</v>
      </c>
      <c r="K7" s="114">
        <f t="shared" si="2"/>
        <v>427224.58962699946</v>
      </c>
      <c r="L7" s="113">
        <f t="shared" si="3"/>
        <v>0.3477823775100351</v>
      </c>
      <c r="M7" s="113">
        <f t="shared" si="3"/>
        <v>0.34862255787301322</v>
      </c>
    </row>
    <row r="8" spans="2:249" ht="15" customHeight="1">
      <c r="B8" s="92" t="str">
        <f>'Base Passo Fundo'!B10</f>
        <v>APS Carazinho</v>
      </c>
      <c r="C8" s="108">
        <f>VLOOKUP(B8,Unidades!$D$5:$G$23,4,)</f>
        <v>0.03</v>
      </c>
      <c r="D8" s="109">
        <f>'Base Passo Fundo'!AD10*12+'Base Passo Fundo'!AE10*4+'Base Passo Fundo'!AF10*2+'Base Passo Fundo'!AG10</f>
        <v>13853.085352118665</v>
      </c>
      <c r="E8" s="109">
        <f>'Base Passo Fundo'!AK10*12+'Base Passo Fundo'!AL10*4+'Base Passo Fundo'!AM10*2+'Base Passo Fundo'!AN10</f>
        <v>17979.919478514817</v>
      </c>
      <c r="G8" s="112">
        <v>3.5000000000000003E-2</v>
      </c>
      <c r="H8" s="114">
        <f t="shared" si="0"/>
        <v>0</v>
      </c>
      <c r="I8" s="114">
        <f t="shared" si="1"/>
        <v>0</v>
      </c>
      <c r="J8" s="114">
        <f t="shared" si="2"/>
        <v>0</v>
      </c>
      <c r="K8" s="114">
        <f t="shared" si="2"/>
        <v>0</v>
      </c>
      <c r="L8" s="113">
        <f t="shared" si="3"/>
        <v>0</v>
      </c>
      <c r="M8" s="113">
        <f t="shared" si="3"/>
        <v>0</v>
      </c>
    </row>
    <row r="9" spans="2:249" s="17" customFormat="1" ht="15" customHeight="1">
      <c r="B9" s="92" t="str">
        <f>'Base Passo Fundo'!B11</f>
        <v>APS Casca</v>
      </c>
      <c r="C9" s="108">
        <f>VLOOKUP(B9,Unidades!$D$5:$G$23,4,)</f>
        <v>0.02</v>
      </c>
      <c r="D9" s="109">
        <f>'Base Passo Fundo'!AD11*12+'Base Passo Fundo'!AE11*4+'Base Passo Fundo'!AF11*2+'Base Passo Fundo'!AG11</f>
        <v>10162.814589721496</v>
      </c>
      <c r="E9" s="109">
        <f>'Base Passo Fundo'!AK11*12+'Base Passo Fundo'!AL11*4+'Base Passo Fundo'!AM11*2+'Base Passo Fundo'!AN11</f>
        <v>13043.972525907542</v>
      </c>
      <c r="G9" s="112">
        <v>0.04</v>
      </c>
      <c r="H9" s="114">
        <f t="shared" si="0"/>
        <v>9297.0989142538729</v>
      </c>
      <c r="I9" s="114">
        <f t="shared" si="1"/>
        <v>12204.301744741057</v>
      </c>
      <c r="J9" s="114">
        <f t="shared" si="2"/>
        <v>37188.395657015491</v>
      </c>
      <c r="K9" s="114">
        <f t="shared" si="2"/>
        <v>48817.206978964226</v>
      </c>
      <c r="L9" s="113">
        <f t="shared" si="3"/>
        <v>3.9291626413803148E-2</v>
      </c>
      <c r="M9" s="113">
        <f t="shared" si="3"/>
        <v>3.9835674206116153E-2</v>
      </c>
      <c r="IO9" s="18"/>
    </row>
    <row r="10" spans="2:249" s="17" customFormat="1" ht="15" customHeight="1">
      <c r="B10" s="92" t="str">
        <f>'Base Passo Fundo'!B12</f>
        <v>APS Erechim</v>
      </c>
      <c r="C10" s="108">
        <f>VLOOKUP(B10,Unidades!$D$5:$G$23,4,)</f>
        <v>0.05</v>
      </c>
      <c r="D10" s="109">
        <f>'Base Passo Fundo'!AD12*12+'Base Passo Fundo'!AE12*4+'Base Passo Fundo'!AF12*2+'Base Passo Fundo'!AG12</f>
        <v>12967.537172250564</v>
      </c>
      <c r="E10" s="109">
        <f>'Base Passo Fundo'!AK12*12+'Base Passo Fundo'!AL12*4+'Base Passo Fundo'!AM12*2+'Base Passo Fundo'!AN12</f>
        <v>17218.295857314297</v>
      </c>
      <c r="G10" s="112">
        <v>4.4999999999999998E-2</v>
      </c>
      <c r="H10" s="114">
        <f t="shared" si="0"/>
        <v>0</v>
      </c>
      <c r="I10" s="114">
        <f t="shared" si="1"/>
        <v>0</v>
      </c>
      <c r="J10" s="114">
        <f t="shared" si="2"/>
        <v>0</v>
      </c>
      <c r="K10" s="114">
        <f t="shared" si="2"/>
        <v>0</v>
      </c>
      <c r="L10" s="113">
        <f t="shared" si="3"/>
        <v>0</v>
      </c>
      <c r="M10" s="113">
        <f t="shared" si="3"/>
        <v>0</v>
      </c>
      <c r="IO10" s="18"/>
    </row>
    <row r="11" spans="2:249" ht="15" customHeight="1">
      <c r="B11" s="92" t="str">
        <f>'Base Passo Fundo'!B13</f>
        <v>APS Espumoso</v>
      </c>
      <c r="C11" s="108">
        <f>VLOOKUP(B11,Unidades!$D$5:$G$23,4,)</f>
        <v>0.04</v>
      </c>
      <c r="D11" s="109">
        <f>'Base Passo Fundo'!AD13*12+'Base Passo Fundo'!AE13*4+'Base Passo Fundo'!AF13*2+'Base Passo Fundo'!AG13</f>
        <v>9297.0989142538729</v>
      </c>
      <c r="E11" s="109">
        <f>'Base Passo Fundo'!AK13*12+'Base Passo Fundo'!AL13*4+'Base Passo Fundo'!AM13*2+'Base Passo Fundo'!AN13</f>
        <v>12204.301744741057</v>
      </c>
      <c r="G11" s="112">
        <v>0.05</v>
      </c>
      <c r="H11" s="114">
        <f t="shared" si="0"/>
        <v>23435.775169837769</v>
      </c>
      <c r="I11" s="114">
        <f t="shared" si="1"/>
        <v>31118.022270510584</v>
      </c>
      <c r="J11" s="114">
        <f t="shared" si="2"/>
        <v>93743.100679351075</v>
      </c>
      <c r="K11" s="114">
        <f t="shared" si="2"/>
        <v>124472.08908204234</v>
      </c>
      <c r="L11" s="113">
        <f t="shared" si="3"/>
        <v>9.904484519137223E-2</v>
      </c>
      <c r="M11" s="113">
        <f t="shared" si="3"/>
        <v>0.10157134943348024</v>
      </c>
    </row>
    <row r="12" spans="2:249" ht="15" customHeight="1">
      <c r="B12" s="92" t="str">
        <f>'Base Passo Fundo'!B14</f>
        <v>APS Getúlio Vargas</v>
      </c>
      <c r="C12" s="108">
        <f>VLOOKUP(B12,Unidades!$D$5:$G$23,4,)</f>
        <v>0.03</v>
      </c>
      <c r="D12" s="109">
        <f>'Base Passo Fundo'!AD14*12+'Base Passo Fundo'!AE14*4+'Base Passo Fundo'!AF14*2+'Base Passo Fundo'!AG14</f>
        <v>9238.1136642538731</v>
      </c>
      <c r="E12" s="109">
        <f>'Base Passo Fundo'!AK14*12+'Base Passo Fundo'!AL14*4+'Base Passo Fundo'!AM14*2+'Base Passo Fundo'!AN14</f>
        <v>11990.1477248351</v>
      </c>
      <c r="G12" s="8"/>
    </row>
    <row r="13" spans="2:249" s="7" customFormat="1" ht="15" customHeight="1">
      <c r="B13" s="92" t="str">
        <f>'Base Passo Fundo'!B15</f>
        <v>APS Guaporé</v>
      </c>
      <c r="C13" s="108">
        <f>VLOOKUP(B13,Unidades!$D$5:$G$23,4,)</f>
        <v>0.02</v>
      </c>
      <c r="D13" s="109">
        <f>'Base Passo Fundo'!AD15*12+'Base Passo Fundo'!AE15*4+'Base Passo Fundo'!AF15*2+'Base Passo Fundo'!AG15</f>
        <v>11152.886594121974</v>
      </c>
      <c r="E13" s="109">
        <f>'Base Passo Fundo'!AK15*12+'Base Passo Fundo'!AL15*4+'Base Passo Fundo'!AM15*2+'Base Passo Fundo'!AN15</f>
        <v>14314.729943555554</v>
      </c>
      <c r="G13" s="111" t="s">
        <v>79</v>
      </c>
      <c r="H13" s="117">
        <f t="shared" ref="H13:M13" si="4">SUM(H5:H11)</f>
        <v>236617.81816666672</v>
      </c>
      <c r="I13" s="117">
        <f t="shared" si="4"/>
        <v>306366.14009829599</v>
      </c>
      <c r="J13" s="117">
        <f t="shared" si="4"/>
        <v>946471.27266666689</v>
      </c>
      <c r="K13" s="117">
        <f t="shared" si="4"/>
        <v>1225464.560393184</v>
      </c>
      <c r="L13" s="118">
        <f t="shared" si="4"/>
        <v>1</v>
      </c>
      <c r="M13" s="118">
        <f t="shared" si="4"/>
        <v>1.0000000000000002</v>
      </c>
      <c r="IO13"/>
    </row>
    <row r="14" spans="2:249" s="7" customFormat="1" ht="15" customHeight="1">
      <c r="B14" s="92" t="str">
        <f>'Base Passo Fundo'!B16</f>
        <v>APS Lagoa Vermelha</v>
      </c>
      <c r="C14" s="108">
        <f>VLOOKUP(B14,Unidades!$D$5:$G$23,4,)</f>
        <v>0.03</v>
      </c>
      <c r="D14" s="109">
        <f>'Base Passo Fundo'!AD16*12+'Base Passo Fundo'!AE16*4+'Base Passo Fundo'!AF16*2+'Base Passo Fundo'!AG16</f>
        <v>12962.682663449608</v>
      </c>
      <c r="E14" s="109">
        <f>'Base Passo Fundo'!AK16*12+'Base Passo Fundo'!AL16*4+'Base Passo Fundo'!AM16*2+'Base Passo Fundo'!AN16</f>
        <v>16824.265828891246</v>
      </c>
      <c r="IO14"/>
    </row>
    <row r="15" spans="2:249" s="7" customFormat="1" ht="15" customHeight="1">
      <c r="B15" s="92" t="str">
        <f>'Base Passo Fundo'!B17</f>
        <v>APS Marau</v>
      </c>
      <c r="C15" s="108">
        <f>VLOOKUP(B15,Unidades!$D$5:$G$23,4,)</f>
        <v>0.03</v>
      </c>
      <c r="D15" s="109">
        <f>'Base Passo Fundo'!AD17*12+'Base Passo Fundo'!AE17*4+'Base Passo Fundo'!AF17*2+'Base Passo Fundo'!AG17</f>
        <v>10162.814589721496</v>
      </c>
      <c r="E15" s="109">
        <f>'Base Passo Fundo'!AK17*12+'Base Passo Fundo'!AL17*4+'Base Passo Fundo'!AM17*2+'Base Passo Fundo'!AN17</f>
        <v>13190.317055999531</v>
      </c>
      <c r="IO15"/>
    </row>
    <row r="16" spans="2:249" s="7" customFormat="1" ht="15" customHeight="1">
      <c r="B16" s="92" t="str">
        <f>'Base Passo Fundo'!B18</f>
        <v>APS Sarandi</v>
      </c>
      <c r="C16" s="108">
        <f>VLOOKUP(B16,Unidades!$D$5:$G$23,4,)</f>
        <v>0.05</v>
      </c>
      <c r="D16" s="109">
        <f>'Base Passo Fundo'!AD18*12+'Base Passo Fundo'!AE18*4+'Base Passo Fundo'!AF18*2+'Base Passo Fundo'!AG18</f>
        <v>10468.237997587206</v>
      </c>
      <c r="E16" s="109">
        <f>'Base Passo Fundo'!AK18*12+'Base Passo Fundo'!AL18*4+'Base Passo Fundo'!AM18*2+'Base Passo Fundo'!AN18</f>
        <v>13899.726413196289</v>
      </c>
      <c r="IO16"/>
    </row>
    <row r="17" spans="2:249" s="7" customFormat="1" ht="15" customHeight="1">
      <c r="B17" s="92" t="str">
        <f>'Base Passo Fundo'!B19</f>
        <v>APS Serafina Corrêa</v>
      </c>
      <c r="C17" s="108">
        <f>VLOOKUP(B17,Unidades!$D$5:$G$23,4,)</f>
        <v>2.5000000000000001E-2</v>
      </c>
      <c r="D17" s="109">
        <f>'Base Passo Fundo'!AD19*12+'Base Passo Fundo'!AE19*4+'Base Passo Fundo'!AF19*2+'Base Passo Fundo'!AG19</f>
        <v>10820.79367305483</v>
      </c>
      <c r="E17" s="109">
        <f>'Base Passo Fundo'!AK19*12+'Base Passo Fundo'!AL19*4+'Base Passo Fundo'!AM19*2+'Base Passo Fundo'!AN19</f>
        <v>13966.398393811867</v>
      </c>
      <c r="IO17"/>
    </row>
    <row r="18" spans="2:249" s="7" customFormat="1" ht="15" customHeight="1">
      <c r="B18" s="92" t="str">
        <f>'Base Passo Fundo'!B20</f>
        <v>APS Soledade</v>
      </c>
      <c r="C18" s="108">
        <f>VLOOKUP(B18,Unidades!$D$5:$G$23,4,)</f>
        <v>0.02</v>
      </c>
      <c r="D18" s="109">
        <f>'Base Passo Fundo'!AD20*12+'Base Passo Fundo'!AE20*4+'Base Passo Fundo'!AF20*2+'Base Passo Fundo'!AG20</f>
        <v>14599.449685451998</v>
      </c>
      <c r="E18" s="109">
        <f>'Base Passo Fundo'!AK20*12+'Base Passo Fundo'!AL20*4+'Base Passo Fundo'!AM20*2+'Base Passo Fundo'!AN20</f>
        <v>18738.393671277641</v>
      </c>
      <c r="IO18"/>
    </row>
    <row r="19" spans="2:249" s="7" customFormat="1" ht="15" customHeight="1">
      <c r="B19" s="92" t="str">
        <f>'Base Passo Fundo'!B21</f>
        <v>GEX/APS Passo Fundo</v>
      </c>
      <c r="C19" s="108">
        <f>VLOOKUP(B19,Unidades!$D$5:$G$23,4,)</f>
        <v>0.02</v>
      </c>
      <c r="D19" s="109">
        <f>'Base Passo Fundo'!AD21*12+'Base Passo Fundo'!AE21*4+'Base Passo Fundo'!AF21*2+'Base Passo Fundo'!AG21</f>
        <v>17379.056420642035</v>
      </c>
      <c r="E19" s="109">
        <f>'Base Passo Fundo'!AK21*12+'Base Passo Fundo'!AL21*4+'Base Passo Fundo'!AM21*2+'Base Passo Fundo'!AN21</f>
        <v>22306.018915894052</v>
      </c>
      <c r="IO19"/>
    </row>
    <row r="20" spans="2:249" s="7" customFormat="1" ht="15" customHeight="1">
      <c r="B20" s="92" t="str">
        <f>'Base Passo Fundo'!B22</f>
        <v>APS Candelária</v>
      </c>
      <c r="C20" s="108">
        <f>VLOOKUP(B20,Unidades!$D$5:$G$23,4,)</f>
        <v>0.02</v>
      </c>
      <c r="D20" s="109">
        <f>'Base Passo Fundo'!AD22*12+'Base Passo Fundo'!AE22*4+'Base Passo Fundo'!AF22*2+'Base Passo Fundo'!AG22</f>
        <v>14316.492756388163</v>
      </c>
      <c r="E20" s="109">
        <f>'Base Passo Fundo'!AK22*12+'Base Passo Fundo'!AL22*4+'Base Passo Fundo'!AM22*2+'Base Passo Fundo'!AN22</f>
        <v>18375.218452824207</v>
      </c>
      <c r="IO20"/>
    </row>
    <row r="21" spans="2:249" s="7" customFormat="1" ht="15" customHeight="1">
      <c r="B21" s="92" t="str">
        <f>'Base Passo Fundo'!B23</f>
        <v>APS Santa Cruz do Sul</v>
      </c>
      <c r="C21" s="108">
        <f>VLOOKUP(B21,Unidades!$D$5:$G$23,4,)</f>
        <v>0.02</v>
      </c>
      <c r="D21" s="109">
        <f>'Base Passo Fundo'!AD23*12+'Base Passo Fundo'!AE23*4+'Base Passo Fundo'!AF23*2+'Base Passo Fundo'!AG23</f>
        <v>17062.741922250563</v>
      </c>
      <c r="E21" s="109">
        <f>'Base Passo Fundo'!AK23*12+'Base Passo Fundo'!AL23*4+'Base Passo Fundo'!AM23*2+'Base Passo Fundo'!AN23</f>
        <v>21900.029257208604</v>
      </c>
      <c r="IO21"/>
    </row>
    <row r="22" spans="2:249" s="67" customFormat="1" ht="15" customHeight="1">
      <c r="B22" s="92" t="str">
        <f>'Base Passo Fundo'!B24</f>
        <v>APS Sobradinho</v>
      </c>
      <c r="C22" s="108">
        <f>VLOOKUP(B22,Unidades!$D$5:$G$23,4,)</f>
        <v>2.5000000000000001E-2</v>
      </c>
      <c r="D22" s="109">
        <f>'Base Passo Fundo'!AD24*12+'Base Passo Fundo'!AE24*4+'Base Passo Fundo'!AF24*2+'Base Passo Fundo'!AG24</f>
        <v>13136.518414253873</v>
      </c>
      <c r="E22" s="109">
        <f>'Base Passo Fundo'!AK24*12+'Base Passo Fundo'!AL24*4+'Base Passo Fundo'!AM24*2+'Base Passo Fundo'!AN24</f>
        <v>16955.304317277474</v>
      </c>
    </row>
    <row r="23" spans="2:249" s="7" customFormat="1" ht="15" customHeight="1">
      <c r="B23" s="92" t="str">
        <f>'Base Passo Fundo'!B25</f>
        <v>APS Venâncio Aires</v>
      </c>
      <c r="C23" s="108">
        <f>VLOOKUP(B23,Unidades!$D$5:$G$23,4,)</f>
        <v>0.03</v>
      </c>
      <c r="D23" s="109">
        <f>'Base Passo Fundo'!AD25*12+'Base Passo Fundo'!AE25*4+'Base Passo Fundo'!AF25*2+'Base Passo Fundo'!AG25</f>
        <v>14513.292756388164</v>
      </c>
      <c r="E23" s="109">
        <f>'Base Passo Fundo'!AK25*12+'Base Passo Fundo'!AL25*4+'Base Passo Fundo'!AM25*2+'Base Passo Fundo'!AN25</f>
        <v>18836.802668516197</v>
      </c>
      <c r="IO23"/>
    </row>
    <row r="24" spans="2:249" ht="15">
      <c r="B24" s="322" t="s">
        <v>79</v>
      </c>
      <c r="C24" s="322"/>
      <c r="D24" s="116">
        <f>SUM(D5:D23)</f>
        <v>236617.81816666672</v>
      </c>
      <c r="E24" s="116">
        <f>SUM(E5:E23)</f>
        <v>306366.14009829605</v>
      </c>
    </row>
  </sheetData>
  <mergeCells count="2">
    <mergeCell ref="B2:M2"/>
    <mergeCell ref="B24:C24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1"/>
  <sheetViews>
    <sheetView showGridLines="0" zoomScale="110" zoomScaleNormal="110" workbookViewId="0">
      <selection activeCell="J6" sqref="J6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08" t="str">
        <f>"PLANILHA RESUMO "&amp;'Valor da Contratação'!B7&amp;""</f>
        <v>PLANILHA RESUMO POLO IX</v>
      </c>
      <c r="C2" s="209"/>
      <c r="D2" s="209"/>
      <c r="E2" s="209"/>
      <c r="F2" s="209"/>
      <c r="G2" s="209"/>
      <c r="H2" s="209"/>
      <c r="I2" s="210"/>
      <c r="J2" s="119"/>
    </row>
    <row r="3" spans="2:250" ht="15" customHeight="1">
      <c r="B3" s="5"/>
      <c r="H3" s="5"/>
      <c r="I3" s="9"/>
    </row>
    <row r="4" spans="2:250" ht="46.5" customHeight="1"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</row>
    <row r="5" spans="2:250" ht="20.100000000000001" customHeight="1">
      <c r="B5" s="88" t="s">
        <v>192</v>
      </c>
      <c r="C5" s="12">
        <f>'Base Passo Fundo'!C26</f>
        <v>24888.929999999997</v>
      </c>
      <c r="D5" s="6">
        <f>'Base Passo Fundo'!AT10</f>
        <v>25530.511674858</v>
      </c>
      <c r="E5" s="6">
        <f>D5*12</f>
        <v>306366.14009829599</v>
      </c>
      <c r="F5" s="6">
        <f>'Base Passo Fundo'!AT12</f>
        <v>76591.535024573997</v>
      </c>
      <c r="G5" s="6">
        <f>F5*12</f>
        <v>919098.42029488797</v>
      </c>
      <c r="H5" s="6">
        <f>D5+F5</f>
        <v>102122.046699432</v>
      </c>
      <c r="I5" s="6">
        <f>H5*12</f>
        <v>1225464.560393184</v>
      </c>
    </row>
    <row r="6" spans="2:250" ht="20.100000000000001" customHeight="1">
      <c r="B6" s="13" t="str">
        <f>"TOTAL "&amp;'Valor da Contratação'!B7&amp;""</f>
        <v>TOTAL POLO IX</v>
      </c>
      <c r="C6" s="14">
        <f t="shared" ref="C6:I6" si="0">SUM(C5:C5)</f>
        <v>24888.929999999997</v>
      </c>
      <c r="D6" s="15">
        <f t="shared" si="0"/>
        <v>25530.511674858</v>
      </c>
      <c r="E6" s="15">
        <f t="shared" si="0"/>
        <v>306366.14009829599</v>
      </c>
      <c r="F6" s="15">
        <f t="shared" si="0"/>
        <v>76591.535024573997</v>
      </c>
      <c r="G6" s="15">
        <f t="shared" si="0"/>
        <v>919098.42029488797</v>
      </c>
      <c r="H6" s="15">
        <f t="shared" si="0"/>
        <v>102122.046699432</v>
      </c>
      <c r="I6" s="15">
        <f t="shared" si="0"/>
        <v>1225464.560393184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1" t="str">
        <f>"BASE "&amp;B5</f>
        <v>BASE PASSO FUNDO</v>
      </c>
      <c r="C8" s="212" t="s">
        <v>16</v>
      </c>
      <c r="D8" s="212"/>
      <c r="E8" s="212"/>
      <c r="F8" s="212" t="s">
        <v>17</v>
      </c>
      <c r="G8" s="212"/>
      <c r="H8" s="212"/>
      <c r="I8" s="71" t="s">
        <v>18</v>
      </c>
      <c r="IP8" s="18"/>
    </row>
    <row r="9" spans="2:250" s="17" customFormat="1" ht="22.7" customHeight="1">
      <c r="B9" s="211"/>
      <c r="C9" s="72" t="s">
        <v>19</v>
      </c>
      <c r="D9" s="72" t="s">
        <v>20</v>
      </c>
      <c r="E9" s="72" t="s">
        <v>21</v>
      </c>
      <c r="F9" s="73" t="s">
        <v>19</v>
      </c>
      <c r="G9" s="73" t="s">
        <v>20</v>
      </c>
      <c r="H9" s="73" t="s">
        <v>21</v>
      </c>
      <c r="I9" s="73" t="s">
        <v>22</v>
      </c>
      <c r="IP9" s="18"/>
    </row>
    <row r="10" spans="2:250" ht="17.100000000000001" customHeight="1">
      <c r="B10" s="88" t="str">
        <f>'Base Passo Fundo'!B7</f>
        <v>APS Nova Prata</v>
      </c>
      <c r="C10" s="6">
        <f>'Base Passo Fundo'!AO7</f>
        <v>1102.2169146390363</v>
      </c>
      <c r="D10" s="6">
        <f t="shared" ref="D10:D26" si="1">C10*3</f>
        <v>3306.6507439171091</v>
      </c>
      <c r="E10" s="6">
        <f t="shared" ref="E10:E26" si="2">C10+D10</f>
        <v>4408.8676585561452</v>
      </c>
      <c r="F10" s="6">
        <f t="shared" ref="F10:F26" si="3">C10*12</f>
        <v>13226.602975668437</v>
      </c>
      <c r="G10" s="6">
        <f t="shared" ref="G10:G26" si="4">F10*3</f>
        <v>39679.80892700531</v>
      </c>
      <c r="H10" s="6">
        <f t="shared" ref="H10:H26" si="5">F10+G10</f>
        <v>52906.411902673746</v>
      </c>
      <c r="I10" s="20">
        <f t="shared" ref="I10:I28" si="6">F10/$E$6</f>
        <v>4.3172535226721695E-2</v>
      </c>
    </row>
    <row r="11" spans="2:250" ht="17.100000000000001" customHeight="1">
      <c r="B11" s="88" t="str">
        <f>'Base Passo Fundo'!B8</f>
        <v>APS Vacaria</v>
      </c>
      <c r="C11" s="6">
        <f>'Base Passo Fundo'!AO8</f>
        <v>1386.4669332114645</v>
      </c>
      <c r="D11" s="6">
        <f t="shared" si="1"/>
        <v>4159.4007996343935</v>
      </c>
      <c r="E11" s="6">
        <f t="shared" si="2"/>
        <v>5545.867732845858</v>
      </c>
      <c r="F11" s="6">
        <f t="shared" si="3"/>
        <v>16637.603198537574</v>
      </c>
      <c r="G11" s="6">
        <f t="shared" si="4"/>
        <v>49912.809595612722</v>
      </c>
      <c r="H11" s="6">
        <f t="shared" si="5"/>
        <v>66550.412794150296</v>
      </c>
      <c r="I11" s="20">
        <f t="shared" si="6"/>
        <v>5.4306272857697277E-2</v>
      </c>
    </row>
    <row r="12" spans="2:250" ht="17.100000000000001" customHeight="1">
      <c r="B12" s="88" t="str">
        <f>'Base Passo Fundo'!B9</f>
        <v>APS Veranópolis</v>
      </c>
      <c r="C12" s="6">
        <f>'Base Passo Fundo'!AO9</f>
        <v>1229.8409728603776</v>
      </c>
      <c r="D12" s="6">
        <f t="shared" si="1"/>
        <v>3689.5229185811331</v>
      </c>
      <c r="E12" s="6">
        <f t="shared" si="2"/>
        <v>4919.3638914415105</v>
      </c>
      <c r="F12" s="6">
        <f t="shared" si="3"/>
        <v>14758.091674324533</v>
      </c>
      <c r="G12" s="6">
        <f t="shared" si="4"/>
        <v>44274.275022973598</v>
      </c>
      <c r="H12" s="6">
        <f t="shared" si="5"/>
        <v>59032.36669729813</v>
      </c>
      <c r="I12" s="20">
        <f t="shared" si="6"/>
        <v>4.8171418909379073E-2</v>
      </c>
    </row>
    <row r="13" spans="2:250" ht="17.100000000000001" customHeight="1">
      <c r="B13" s="88" t="str">
        <f>'Base Passo Fundo'!B10</f>
        <v>APS Carazinho</v>
      </c>
      <c r="C13" s="6">
        <f>'Base Passo Fundo'!AO10</f>
        <v>1498.3266232095682</v>
      </c>
      <c r="D13" s="6">
        <f t="shared" si="1"/>
        <v>4494.9798696287044</v>
      </c>
      <c r="E13" s="6">
        <f t="shared" si="2"/>
        <v>5993.3064928382728</v>
      </c>
      <c r="F13" s="6">
        <f t="shared" si="3"/>
        <v>17979.919478514817</v>
      </c>
      <c r="G13" s="6">
        <f t="shared" si="4"/>
        <v>53939.758435544456</v>
      </c>
      <c r="H13" s="6">
        <f t="shared" si="5"/>
        <v>71919.67791405927</v>
      </c>
      <c r="I13" s="20">
        <f t="shared" si="6"/>
        <v>5.8687684849069985E-2</v>
      </c>
    </row>
    <row r="14" spans="2:250" ht="17.100000000000001" customHeight="1">
      <c r="B14" s="88" t="str">
        <f>'Base Passo Fundo'!B11</f>
        <v>APS Casca</v>
      </c>
      <c r="C14" s="6">
        <f>'Base Passo Fundo'!AO11</f>
        <v>1086.9977104922953</v>
      </c>
      <c r="D14" s="6">
        <f t="shared" si="1"/>
        <v>3260.9931314768855</v>
      </c>
      <c r="E14" s="6">
        <f t="shared" si="2"/>
        <v>4347.990841969181</v>
      </c>
      <c r="F14" s="6">
        <f t="shared" si="3"/>
        <v>13043.972525907542</v>
      </c>
      <c r="G14" s="6">
        <f t="shared" si="4"/>
        <v>39131.917577722626</v>
      </c>
      <c r="H14" s="6">
        <f t="shared" si="5"/>
        <v>52175.890103630169</v>
      </c>
      <c r="I14" s="20">
        <f t="shared" si="6"/>
        <v>4.2576416968671704E-2</v>
      </c>
    </row>
    <row r="15" spans="2:250" ht="17.100000000000001" customHeight="1">
      <c r="B15" s="88" t="str">
        <f>'Base Passo Fundo'!B12</f>
        <v>APS Erechim</v>
      </c>
      <c r="C15" s="6">
        <f>'Base Passo Fundo'!AO12</f>
        <v>1434.8579881095247</v>
      </c>
      <c r="D15" s="6">
        <f t="shared" si="1"/>
        <v>4304.5739643285742</v>
      </c>
      <c r="E15" s="6">
        <f t="shared" si="2"/>
        <v>5739.431952438099</v>
      </c>
      <c r="F15" s="6">
        <f t="shared" si="3"/>
        <v>17218.295857314297</v>
      </c>
      <c r="G15" s="6">
        <f t="shared" si="4"/>
        <v>51654.887571942891</v>
      </c>
      <c r="H15" s="6">
        <f t="shared" si="5"/>
        <v>68873.183429257188</v>
      </c>
      <c r="I15" s="20">
        <f t="shared" si="6"/>
        <v>5.6201693345713385E-2</v>
      </c>
    </row>
    <row r="16" spans="2:250" ht="17.100000000000001" customHeight="1">
      <c r="B16" s="88" t="str">
        <f>'Base Passo Fundo'!B13</f>
        <v>APS Espumoso</v>
      </c>
      <c r="C16" s="6">
        <f>'Base Passo Fundo'!AO13</f>
        <v>1017.0251453950881</v>
      </c>
      <c r="D16" s="6">
        <f t="shared" si="1"/>
        <v>3051.0754361852642</v>
      </c>
      <c r="E16" s="6">
        <f t="shared" si="2"/>
        <v>4068.1005815803524</v>
      </c>
      <c r="F16" s="6">
        <f t="shared" si="3"/>
        <v>12204.301744741057</v>
      </c>
      <c r="G16" s="6">
        <f t="shared" si="4"/>
        <v>36612.905234223173</v>
      </c>
      <c r="H16" s="6">
        <f t="shared" si="5"/>
        <v>48817.206978964226</v>
      </c>
      <c r="I16" s="20">
        <f t="shared" si="6"/>
        <v>3.9835674206116153E-2</v>
      </c>
    </row>
    <row r="17" spans="2:9" ht="17.100000000000001" customHeight="1">
      <c r="B17" s="88" t="str">
        <f>'Base Passo Fundo'!B14</f>
        <v>APS Getúlio Vargas</v>
      </c>
      <c r="C17" s="6">
        <f>'Base Passo Fundo'!AO14</f>
        <v>999.17897706959172</v>
      </c>
      <c r="D17" s="6">
        <f t="shared" si="1"/>
        <v>2997.5369312087751</v>
      </c>
      <c r="E17" s="6">
        <f t="shared" si="2"/>
        <v>3996.7159082783669</v>
      </c>
      <c r="F17" s="6">
        <f t="shared" si="3"/>
        <v>11990.1477248351</v>
      </c>
      <c r="G17" s="6">
        <f t="shared" si="4"/>
        <v>35970.443174505301</v>
      </c>
      <c r="H17" s="6">
        <f t="shared" si="5"/>
        <v>47960.590899340401</v>
      </c>
      <c r="I17" s="20">
        <f t="shared" si="6"/>
        <v>3.9136660862679286E-2</v>
      </c>
    </row>
    <row r="18" spans="2:9" ht="17.100000000000001" customHeight="1">
      <c r="B18" s="88" t="str">
        <f>'Base Passo Fundo'!B15</f>
        <v>APS Guaporé</v>
      </c>
      <c r="C18" s="6">
        <f>'Base Passo Fundo'!AO15</f>
        <v>1192.8941619629629</v>
      </c>
      <c r="D18" s="6">
        <f t="shared" si="1"/>
        <v>3578.6824858888886</v>
      </c>
      <c r="E18" s="6">
        <f t="shared" si="2"/>
        <v>4771.5766478518517</v>
      </c>
      <c r="F18" s="6">
        <f t="shared" si="3"/>
        <v>14314.729943555554</v>
      </c>
      <c r="G18" s="6">
        <f t="shared" si="4"/>
        <v>42944.189830666663</v>
      </c>
      <c r="H18" s="6">
        <f t="shared" si="5"/>
        <v>57258.919774222217</v>
      </c>
      <c r="I18" s="20">
        <f t="shared" si="6"/>
        <v>4.6724255947353542E-2</v>
      </c>
    </row>
    <row r="19" spans="2:9" ht="17.100000000000001" customHeight="1">
      <c r="B19" s="88" t="str">
        <f>'Base Passo Fundo'!B16</f>
        <v>APS Lagoa Vermelha</v>
      </c>
      <c r="C19" s="6">
        <f>'Base Passo Fundo'!AO16</f>
        <v>1402.0221524076039</v>
      </c>
      <c r="D19" s="6">
        <f t="shared" si="1"/>
        <v>4206.0664572228116</v>
      </c>
      <c r="E19" s="6">
        <f t="shared" si="2"/>
        <v>5608.0886096304157</v>
      </c>
      <c r="F19" s="6">
        <f t="shared" si="3"/>
        <v>16824.265828891246</v>
      </c>
      <c r="G19" s="6">
        <f t="shared" si="4"/>
        <v>50472.797486673735</v>
      </c>
      <c r="H19" s="6">
        <f t="shared" si="5"/>
        <v>67297.063315564985</v>
      </c>
      <c r="I19" s="20">
        <f t="shared" si="6"/>
        <v>5.49155524285199E-2</v>
      </c>
    </row>
    <row r="20" spans="2:9" ht="17.100000000000001" customHeight="1">
      <c r="B20" s="88" t="str">
        <f>'Base Passo Fundo'!B17</f>
        <v>APS Marau</v>
      </c>
      <c r="C20" s="6">
        <f>'Base Passo Fundo'!AO17</f>
        <v>1099.1930879999609</v>
      </c>
      <c r="D20" s="6">
        <f t="shared" si="1"/>
        <v>3297.5792639998826</v>
      </c>
      <c r="E20" s="6">
        <f t="shared" si="2"/>
        <v>4396.7723519998435</v>
      </c>
      <c r="F20" s="6">
        <f t="shared" si="3"/>
        <v>13190.317055999531</v>
      </c>
      <c r="G20" s="6">
        <f t="shared" si="4"/>
        <v>39570.951167998588</v>
      </c>
      <c r="H20" s="6">
        <f t="shared" si="5"/>
        <v>52761.268223998122</v>
      </c>
      <c r="I20" s="20">
        <f t="shared" si="6"/>
        <v>4.3054095507315156E-2</v>
      </c>
    </row>
    <row r="21" spans="2:9" ht="17.100000000000001" customHeight="1">
      <c r="B21" s="88" t="str">
        <f>'Base Passo Fundo'!B18</f>
        <v>APS Sarandi</v>
      </c>
      <c r="C21" s="6">
        <f>'Base Passo Fundo'!AO18</f>
        <v>1158.310534433024</v>
      </c>
      <c r="D21" s="6">
        <f t="shared" si="1"/>
        <v>3474.9316032990719</v>
      </c>
      <c r="E21" s="6">
        <f t="shared" si="2"/>
        <v>4633.2421377320961</v>
      </c>
      <c r="F21" s="6">
        <f t="shared" si="3"/>
        <v>13899.726413196287</v>
      </c>
      <c r="G21" s="6">
        <f t="shared" si="4"/>
        <v>41699.179239588862</v>
      </c>
      <c r="H21" s="6">
        <f t="shared" si="5"/>
        <v>55598.90565278515</v>
      </c>
      <c r="I21" s="20">
        <f t="shared" si="6"/>
        <v>4.5369656087766851E-2</v>
      </c>
    </row>
    <row r="22" spans="2:9" ht="17.100000000000001" customHeight="1">
      <c r="B22" s="88" t="str">
        <f>'Base Passo Fundo'!B19</f>
        <v>APS Serafina Corrêa</v>
      </c>
      <c r="C22" s="6">
        <f>'Base Passo Fundo'!AO19</f>
        <v>1163.8665328176555</v>
      </c>
      <c r="D22" s="6">
        <f t="shared" si="1"/>
        <v>3491.5995984529663</v>
      </c>
      <c r="E22" s="6">
        <f t="shared" si="2"/>
        <v>4655.4661312706221</v>
      </c>
      <c r="F22" s="6">
        <f t="shared" si="3"/>
        <v>13966.398393811865</v>
      </c>
      <c r="G22" s="6">
        <f t="shared" si="4"/>
        <v>41899.1951814356</v>
      </c>
      <c r="H22" s="6">
        <f t="shared" si="5"/>
        <v>55865.593575247462</v>
      </c>
      <c r="I22" s="20">
        <f t="shared" si="6"/>
        <v>4.5587277984867447E-2</v>
      </c>
    </row>
    <row r="23" spans="2:9" ht="17.100000000000001" customHeight="1">
      <c r="B23" s="88" t="str">
        <f>'Base Passo Fundo'!B20</f>
        <v>APS Soledade</v>
      </c>
      <c r="C23" s="6">
        <f>'Base Passo Fundo'!AO20</f>
        <v>1561.5328059398034</v>
      </c>
      <c r="D23" s="6">
        <f t="shared" si="1"/>
        <v>4684.5984178194103</v>
      </c>
      <c r="E23" s="6">
        <f t="shared" si="2"/>
        <v>6246.1312237592138</v>
      </c>
      <c r="F23" s="6">
        <f t="shared" si="3"/>
        <v>18738.393671277641</v>
      </c>
      <c r="G23" s="6">
        <f t="shared" si="4"/>
        <v>56215.181013832924</v>
      </c>
      <c r="H23" s="6">
        <f t="shared" si="5"/>
        <v>74953.574685110565</v>
      </c>
      <c r="I23" s="20">
        <f t="shared" si="6"/>
        <v>6.1163396402962561E-2</v>
      </c>
    </row>
    <row r="24" spans="2:9" ht="17.100000000000001" customHeight="1">
      <c r="B24" s="88" t="str">
        <f>'Base Passo Fundo'!B21</f>
        <v>GEX/APS Passo Fundo</v>
      </c>
      <c r="C24" s="6">
        <f>'Base Passo Fundo'!AO21</f>
        <v>1858.8349096578377</v>
      </c>
      <c r="D24" s="6">
        <f t="shared" si="1"/>
        <v>5576.504728973513</v>
      </c>
      <c r="E24" s="6">
        <f t="shared" si="2"/>
        <v>7435.3396386313507</v>
      </c>
      <c r="F24" s="6">
        <f t="shared" si="3"/>
        <v>22306.018915894052</v>
      </c>
      <c r="G24" s="6">
        <f t="shared" si="4"/>
        <v>66918.05674768216</v>
      </c>
      <c r="H24" s="6">
        <f t="shared" si="5"/>
        <v>89224.075663576208</v>
      </c>
      <c r="I24" s="20">
        <f t="shared" si="6"/>
        <v>7.2808368799297737E-2</v>
      </c>
    </row>
    <row r="25" spans="2:9" ht="17.100000000000001" customHeight="1">
      <c r="B25" s="88" t="str">
        <f>'Base Passo Fundo'!B22</f>
        <v>APS Candelária</v>
      </c>
      <c r="C25" s="6">
        <f>'Base Passo Fundo'!AO22</f>
        <v>1531.2682044020173</v>
      </c>
      <c r="D25" s="6">
        <f t="shared" si="1"/>
        <v>4593.8046132060517</v>
      </c>
      <c r="E25" s="6">
        <f t="shared" si="2"/>
        <v>6125.0728176080693</v>
      </c>
      <c r="F25" s="6">
        <f t="shared" si="3"/>
        <v>18375.218452824207</v>
      </c>
      <c r="G25" s="6">
        <f t="shared" si="4"/>
        <v>55125.655358472621</v>
      </c>
      <c r="H25" s="6">
        <f t="shared" si="5"/>
        <v>73500.873811296828</v>
      </c>
      <c r="I25" s="20">
        <f t="shared" si="6"/>
        <v>5.9977967692280268E-2</v>
      </c>
    </row>
    <row r="26" spans="2:9" ht="17.100000000000001" customHeight="1">
      <c r="B26" s="88" t="str">
        <f>'Base Passo Fundo'!B23</f>
        <v>APS Santa Cruz do Sul</v>
      </c>
      <c r="C26" s="6">
        <f>'Base Passo Fundo'!AO23</f>
        <v>1825.002438100717</v>
      </c>
      <c r="D26" s="6">
        <f t="shared" si="1"/>
        <v>5475.0073143021509</v>
      </c>
      <c r="E26" s="6">
        <f t="shared" si="2"/>
        <v>7300.0097524028679</v>
      </c>
      <c r="F26" s="6">
        <f t="shared" si="3"/>
        <v>21900.029257208604</v>
      </c>
      <c r="G26" s="6">
        <f t="shared" si="4"/>
        <v>65700.087771625811</v>
      </c>
      <c r="H26" s="6">
        <f t="shared" si="5"/>
        <v>87600.117028834415</v>
      </c>
      <c r="I26" s="20">
        <f t="shared" si="6"/>
        <v>7.1483190832322699E-2</v>
      </c>
    </row>
    <row r="27" spans="2:9" ht="17.100000000000001" customHeight="1">
      <c r="B27" s="88" t="str">
        <f>'Base Passo Fundo'!B24</f>
        <v>APS Sobradinho</v>
      </c>
      <c r="C27" s="6">
        <f>'Base Passo Fundo'!AO24</f>
        <v>1412.9420264397895</v>
      </c>
      <c r="D27" s="6">
        <f t="shared" ref="D27:D28" si="7">C27*3</f>
        <v>4238.8260793193685</v>
      </c>
      <c r="E27" s="6">
        <f t="shared" ref="E27:E28" si="8">C27+D27</f>
        <v>5651.7681057591581</v>
      </c>
      <c r="F27" s="6">
        <f t="shared" ref="F27:F28" si="9">C27*12</f>
        <v>16955.304317277474</v>
      </c>
      <c r="G27" s="6">
        <f t="shared" ref="G27:G28" si="10">F27*3</f>
        <v>50865.912951832419</v>
      </c>
      <c r="H27" s="6">
        <f t="shared" ref="H27:H28" si="11">F27+G27</f>
        <v>67821.217269109897</v>
      </c>
      <c r="I27" s="20">
        <f t="shared" si="6"/>
        <v>5.5343271001937262E-2</v>
      </c>
    </row>
    <row r="28" spans="2:9" ht="17.100000000000001" customHeight="1">
      <c r="B28" s="88" t="str">
        <f>'Base Passo Fundo'!B25</f>
        <v>APS Venâncio Aires</v>
      </c>
      <c r="C28" s="6">
        <f>'Base Passo Fundo'!AO25</f>
        <v>1569.7335557096831</v>
      </c>
      <c r="D28" s="6">
        <f t="shared" si="7"/>
        <v>4709.2006671290492</v>
      </c>
      <c r="E28" s="6">
        <f t="shared" si="8"/>
        <v>6278.9342228387322</v>
      </c>
      <c r="F28" s="6">
        <f t="shared" si="9"/>
        <v>18836.802668516197</v>
      </c>
      <c r="G28" s="6">
        <f t="shared" si="10"/>
        <v>56510.40800554859</v>
      </c>
      <c r="H28" s="6">
        <f t="shared" si="11"/>
        <v>75347.210674064787</v>
      </c>
      <c r="I28" s="20">
        <f t="shared" si="6"/>
        <v>6.1484610089328103E-2</v>
      </c>
    </row>
    <row r="29" spans="2:9" ht="22.7" customHeight="1">
      <c r="B29" s="21" t="str">
        <f>"Total Base "&amp;B5</f>
        <v>Total Base PASSO FUNDO</v>
      </c>
      <c r="C29" s="21">
        <f>SUM(C10:C28)</f>
        <v>25530.511674858004</v>
      </c>
      <c r="D29" s="21">
        <f t="shared" ref="D29:H29" si="12">SUM(D10:D28)</f>
        <v>76591.535024573983</v>
      </c>
      <c r="E29" s="21">
        <f t="shared" si="12"/>
        <v>102122.04669943202</v>
      </c>
      <c r="F29" s="21">
        <f t="shared" si="12"/>
        <v>306366.14009829593</v>
      </c>
      <c r="G29" s="21">
        <f t="shared" si="12"/>
        <v>919098.42029488808</v>
      </c>
      <c r="H29" s="21">
        <f t="shared" si="12"/>
        <v>1225464.5603931837</v>
      </c>
      <c r="I29" s="22">
        <f>SUM(I10:I28)</f>
        <v>1.0000000000000002</v>
      </c>
    </row>
    <row r="30" spans="2:9" ht="22.7" customHeight="1">
      <c r="B30" s="23"/>
      <c r="C30" s="23"/>
      <c r="D30" s="23"/>
      <c r="E30" s="23"/>
      <c r="F30" s="23"/>
      <c r="G30" s="23"/>
      <c r="H30" s="23"/>
      <c r="I30" s="24"/>
    </row>
    <row r="31" spans="2:9" ht="22.7" customHeight="1">
      <c r="B31" s="19"/>
      <c r="C31" s="23"/>
      <c r="D31" s="23"/>
      <c r="E31" s="23"/>
      <c r="F31" s="23"/>
      <c r="G31" s="23"/>
      <c r="H31" s="23"/>
      <c r="I31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3" t="str">
        <f>"CÁLCULO DO CUSTO DA EQUIPE TÉCNICA PARA O "&amp;'Valor da Contratação'!B7&amp;""</f>
        <v>CÁLCULO DO CUSTO DA EQUIPE TÉCNICA PARA O POLO IX</v>
      </c>
      <c r="C2" s="214"/>
      <c r="D2" s="214"/>
      <c r="E2" s="215"/>
    </row>
    <row r="3" spans="2:5" ht="15" customHeight="1">
      <c r="B3" s="1"/>
      <c r="C3" s="1"/>
      <c r="D3" s="1"/>
      <c r="E3" s="1"/>
    </row>
    <row r="4" spans="2:5" ht="45.75" customHeight="1">
      <c r="B4" s="216" t="s">
        <v>23</v>
      </c>
      <c r="C4" s="83" t="s">
        <v>24</v>
      </c>
      <c r="D4" s="83" t="s">
        <v>25</v>
      </c>
      <c r="E4" s="83" t="s">
        <v>26</v>
      </c>
    </row>
    <row r="5" spans="2:5" ht="20.100000000000001" customHeight="1">
      <c r="B5" s="216"/>
      <c r="C5" s="61">
        <v>101.99</v>
      </c>
      <c r="D5" s="61">
        <f>'Comp. Eng. Eletricista'!D11</f>
        <v>108.89875000000001</v>
      </c>
      <c r="E5" s="61">
        <v>27.29</v>
      </c>
    </row>
    <row r="6" spans="2:5" ht="20.100000000000001" customHeight="1">
      <c r="B6" s="62" t="s">
        <v>27</v>
      </c>
      <c r="C6" s="151">
        <v>80</v>
      </c>
      <c r="D6" s="151">
        <v>16</v>
      </c>
      <c r="E6" s="151">
        <v>80</v>
      </c>
    </row>
    <row r="7" spans="2:5" ht="20.100000000000001" customHeight="1">
      <c r="B7" s="62" t="s">
        <v>28</v>
      </c>
      <c r="C7" s="61">
        <f>C5*C6</f>
        <v>8159.2</v>
      </c>
      <c r="D7" s="61">
        <f>D5*D6</f>
        <v>1742.38</v>
      </c>
      <c r="E7" s="61">
        <f>E5*E6</f>
        <v>2183.1999999999998</v>
      </c>
    </row>
    <row r="8" spans="2:5" ht="20.100000000000001" customHeight="1">
      <c r="B8" s="62" t="s">
        <v>29</v>
      </c>
      <c r="C8" s="61">
        <f>C5*C6*12</f>
        <v>97910.399999999994</v>
      </c>
      <c r="D8" s="61">
        <f>D5*D6*12</f>
        <v>20908.560000000001</v>
      </c>
      <c r="E8" s="61">
        <f>E5*E6*12</f>
        <v>26198.399999999998</v>
      </c>
    </row>
    <row r="9" spans="2:5" ht="20.100000000000001" customHeight="1">
      <c r="B9" s="25" t="s">
        <v>236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17" t="s">
        <v>30</v>
      </c>
      <c r="C11" s="218"/>
      <c r="E11" s="26"/>
    </row>
    <row r="12" spans="2:5" ht="20.100000000000001" customHeight="1">
      <c r="B12" s="62" t="s">
        <v>31</v>
      </c>
      <c r="C12" s="61">
        <f>SUM(C7:E7)</f>
        <v>12084.779999999999</v>
      </c>
      <c r="E12" s="26"/>
    </row>
    <row r="13" spans="2:5" ht="20.100000000000001" customHeight="1">
      <c r="B13" s="62" t="s">
        <v>32</v>
      </c>
      <c r="C13" s="61">
        <f>SUM(C8:E8)</f>
        <v>145017.35999999999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31"/>
  <sheetViews>
    <sheetView showGridLines="0" zoomScale="110" zoomScaleNormal="110" workbookViewId="0">
      <selection activeCell="X28" sqref="X28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19" t="str">
        <f>"BASE "&amp;Resumo!B5&amp;" - PLANILHA DE FORMAÇÃO DE PREÇOS"</f>
        <v>BASE PASSO FUNDO - PLANILHA DE FORMAÇÃO DE PREÇOS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  <c r="P2" s="2"/>
      <c r="Q2" s="213" t="str">
        <f>"BASE "&amp;Resumo!B5&amp;" – PLANILHA DE DISTRIBUIÇÃO DE CUSTOS POR UNIDADE"</f>
        <v>BASE PASSO FUNDO – PLANILHA DE DISTRIBUIÇÃO DE CUSTOS POR UNIDADE</v>
      </c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5"/>
      <c r="AH2" s="27"/>
      <c r="AI2" s="225" t="str">
        <f>"BASE "&amp;Resumo!B5&amp;" – PLANILHA RESUMO DE CUSTOS DA BASE"</f>
        <v>BASE PASSO FUNDO – PLANILHA RESUMO DE CUSTOS DA BASE</v>
      </c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7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28" t="s">
        <v>33</v>
      </c>
      <c r="C4" s="228" t="s">
        <v>34</v>
      </c>
      <c r="D4" s="228"/>
      <c r="E4" s="228"/>
      <c r="F4" s="228"/>
      <c r="G4" s="228"/>
      <c r="H4" s="228" t="s">
        <v>35</v>
      </c>
      <c r="I4" s="228"/>
      <c r="J4" s="228"/>
      <c r="K4" s="228"/>
      <c r="L4" s="228"/>
      <c r="M4" s="228"/>
      <c r="N4" s="228"/>
      <c r="O4" s="228" t="s">
        <v>21</v>
      </c>
      <c r="P4" s="2"/>
      <c r="Q4" s="228" t="s">
        <v>36</v>
      </c>
      <c r="R4" s="229" t="s">
        <v>37</v>
      </c>
      <c r="S4" s="229"/>
      <c r="T4" s="229"/>
      <c r="U4" s="229"/>
      <c r="V4" s="229" t="s">
        <v>38</v>
      </c>
      <c r="W4" s="229"/>
      <c r="X4" s="229"/>
      <c r="Y4" s="229"/>
      <c r="Z4" s="229" t="s">
        <v>39</v>
      </c>
      <c r="AA4" s="229"/>
      <c r="AB4" s="229"/>
      <c r="AC4" s="229"/>
      <c r="AD4" s="229" t="s">
        <v>40</v>
      </c>
      <c r="AE4" s="229"/>
      <c r="AF4" s="229"/>
      <c r="AG4" s="229"/>
      <c r="AI4" s="228" t="s">
        <v>36</v>
      </c>
      <c r="AJ4" s="230" t="s">
        <v>41</v>
      </c>
      <c r="AK4" s="230"/>
      <c r="AL4" s="230"/>
      <c r="AM4" s="230"/>
      <c r="AN4" s="230"/>
      <c r="AO4" s="230" t="s">
        <v>42</v>
      </c>
      <c r="AP4" s="230"/>
      <c r="AQ4" s="230"/>
      <c r="AR4" s="29"/>
      <c r="AS4" s="230" t="str">
        <f>"Resumo de Custos da Base "&amp;Resumo!B5</f>
        <v>Resumo de Custos da Base PASSO FUNDO</v>
      </c>
      <c r="AT4" s="230"/>
      <c r="AU4" s="230"/>
      <c r="AV4" s="230"/>
      <c r="AW4" s="230"/>
    </row>
    <row r="5" spans="2:49" ht="39.950000000000003" customHeight="1">
      <c r="B5" s="228"/>
      <c r="C5" s="78" t="s">
        <v>21</v>
      </c>
      <c r="D5" s="78" t="s">
        <v>43</v>
      </c>
      <c r="E5" s="78" t="s">
        <v>44</v>
      </c>
      <c r="F5" s="78" t="s">
        <v>45</v>
      </c>
      <c r="G5" s="228" t="s">
        <v>46</v>
      </c>
      <c r="H5" s="78" t="s">
        <v>47</v>
      </c>
      <c r="I5" s="78" t="s">
        <v>48</v>
      </c>
      <c r="J5" s="78" t="s">
        <v>49</v>
      </c>
      <c r="K5" s="78" t="s">
        <v>50</v>
      </c>
      <c r="L5" s="78" t="s">
        <v>51</v>
      </c>
      <c r="M5" s="78" t="s">
        <v>52</v>
      </c>
      <c r="N5" s="228" t="s">
        <v>53</v>
      </c>
      <c r="O5" s="228"/>
      <c r="P5" s="2"/>
      <c r="Q5" s="228"/>
      <c r="R5" s="78" t="s">
        <v>54</v>
      </c>
      <c r="S5" s="78" t="s">
        <v>55</v>
      </c>
      <c r="T5" s="78" t="s">
        <v>56</v>
      </c>
      <c r="U5" s="78" t="s">
        <v>57</v>
      </c>
      <c r="V5" s="228" t="s">
        <v>58</v>
      </c>
      <c r="W5" s="228" t="s">
        <v>59</v>
      </c>
      <c r="X5" s="228" t="s">
        <v>60</v>
      </c>
      <c r="Y5" s="228" t="s">
        <v>61</v>
      </c>
      <c r="Z5" s="222" t="s">
        <v>62</v>
      </c>
      <c r="AA5" s="223"/>
      <c r="AB5" s="224"/>
      <c r="AC5" s="78">
        <f>N26</f>
        <v>725.29999999999984</v>
      </c>
      <c r="AD5" s="229" t="s">
        <v>54</v>
      </c>
      <c r="AE5" s="229" t="s">
        <v>55</v>
      </c>
      <c r="AF5" s="229" t="s">
        <v>56</v>
      </c>
      <c r="AG5" s="229" t="s">
        <v>57</v>
      </c>
      <c r="AI5" s="228"/>
      <c r="AJ5" s="229" t="s">
        <v>63</v>
      </c>
      <c r="AK5" s="229" t="s">
        <v>54</v>
      </c>
      <c r="AL5" s="229" t="s">
        <v>55</v>
      </c>
      <c r="AM5" s="229" t="s">
        <v>56</v>
      </c>
      <c r="AN5" s="229" t="s">
        <v>57</v>
      </c>
      <c r="AO5" s="229" t="s">
        <v>64</v>
      </c>
      <c r="AP5" s="229" t="s">
        <v>65</v>
      </c>
      <c r="AQ5" s="229" t="s">
        <v>66</v>
      </c>
      <c r="AR5" s="27"/>
      <c r="AS5" s="229" t="s">
        <v>67</v>
      </c>
      <c r="AT5" s="84" t="s">
        <v>54</v>
      </c>
      <c r="AU5" s="84" t="s">
        <v>55</v>
      </c>
      <c r="AV5" s="84" t="s">
        <v>56</v>
      </c>
      <c r="AW5" s="84" t="s">
        <v>57</v>
      </c>
    </row>
    <row r="6" spans="2:49" ht="19.899999999999999" customHeight="1">
      <c r="B6" s="228"/>
      <c r="C6" s="79" t="s">
        <v>68</v>
      </c>
      <c r="D6" s="79">
        <v>1</v>
      </c>
      <c r="E6" s="79">
        <v>0.35</v>
      </c>
      <c r="F6" s="79">
        <v>0.1</v>
      </c>
      <c r="G6" s="228"/>
      <c r="H6" s="79">
        <v>1</v>
      </c>
      <c r="I6" s="79">
        <v>1.2</v>
      </c>
      <c r="J6" s="79">
        <v>2</v>
      </c>
      <c r="K6" s="79">
        <v>4</v>
      </c>
      <c r="L6" s="79">
        <v>1.1000000000000001</v>
      </c>
      <c r="M6" s="79">
        <v>1.1000000000000001</v>
      </c>
      <c r="N6" s="228"/>
      <c r="O6" s="228"/>
      <c r="P6" s="30"/>
      <c r="Q6" s="228"/>
      <c r="R6" s="79" t="s">
        <v>69</v>
      </c>
      <c r="S6" s="79" t="s">
        <v>70</v>
      </c>
      <c r="T6" s="79" t="s">
        <v>71</v>
      </c>
      <c r="U6" s="79" t="s">
        <v>72</v>
      </c>
      <c r="V6" s="228"/>
      <c r="W6" s="228"/>
      <c r="X6" s="228"/>
      <c r="Y6" s="228"/>
      <c r="Z6" s="73" t="s">
        <v>54</v>
      </c>
      <c r="AA6" s="73" t="s">
        <v>55</v>
      </c>
      <c r="AB6" s="73" t="s">
        <v>56</v>
      </c>
      <c r="AC6" s="73" t="s">
        <v>57</v>
      </c>
      <c r="AD6" s="229"/>
      <c r="AE6" s="229"/>
      <c r="AF6" s="229"/>
      <c r="AG6" s="229"/>
      <c r="AI6" s="228"/>
      <c r="AJ6" s="229"/>
      <c r="AK6" s="229"/>
      <c r="AL6" s="229"/>
      <c r="AM6" s="229"/>
      <c r="AN6" s="229"/>
      <c r="AO6" s="229"/>
      <c r="AP6" s="229"/>
      <c r="AQ6" s="229"/>
      <c r="AR6" s="31"/>
      <c r="AS6" s="229"/>
      <c r="AT6" s="73" t="s">
        <v>69</v>
      </c>
      <c r="AU6" s="73" t="s">
        <v>70</v>
      </c>
      <c r="AV6" s="73" t="s">
        <v>71</v>
      </c>
      <c r="AW6" s="73" t="s">
        <v>72</v>
      </c>
    </row>
    <row r="7" spans="2:49" s="5" customFormat="1" ht="15" customHeight="1">
      <c r="B7" s="48" t="s">
        <v>194</v>
      </c>
      <c r="C7" s="49">
        <f>VLOOKUP($B7,Unidades!$D$5:$N$23,6,FALSE())</f>
        <v>368.32</v>
      </c>
      <c r="D7" s="49">
        <f>VLOOKUP($B7,Unidades!$D$5:$N$23,7,FALSE())</f>
        <v>280.32</v>
      </c>
      <c r="E7" s="49">
        <f>VLOOKUP($B7,Unidades!$D$5:$N$23,8,FALSE())</f>
        <v>88</v>
      </c>
      <c r="F7" s="49">
        <f>VLOOKUP($B7,Unidades!$D$5:$N$23,9,FALSE())</f>
        <v>0</v>
      </c>
      <c r="G7" s="49">
        <f t="shared" ref="G7:G22" si="0">D7+E7*$E$6+F7*$F$6</f>
        <v>311.12</v>
      </c>
      <c r="H7" s="50">
        <f t="shared" ref="H7:H22" si="1">IF(G7&lt;750,1.5,IF(G7&lt;2000,2,3))</f>
        <v>1.5</v>
      </c>
      <c r="I7" s="50">
        <f t="shared" ref="I7:I22" si="2">$I$6*H7</f>
        <v>1.7999999999999998</v>
      </c>
      <c r="J7" s="50" t="str">
        <f>VLOOKUP($B7,Unidades!$D$5:$N$23,10,FALSE())</f>
        <v>NÃO</v>
      </c>
      <c r="K7" s="50" t="str">
        <f>VLOOKUP($B7,Unidades!$D$5:$N$23,11,FALSE())</f>
        <v>NÃO</v>
      </c>
      <c r="L7" s="50">
        <f t="shared" ref="L7:L22" si="3">$L$6*H7+(IF(J7="SIM",$J$6,0))</f>
        <v>1.6500000000000001</v>
      </c>
      <c r="M7" s="50">
        <f t="shared" ref="M7:M16" si="4">$M$6*H7+(IF(J7="SIM",$J$6,0))+(IF(K7="SIM",$K$6,0))</f>
        <v>1.6500000000000001</v>
      </c>
      <c r="N7" s="50">
        <f t="shared" ref="N7:N16" si="5">H7*12+I7*4+L7*2+M7</f>
        <v>30.15</v>
      </c>
      <c r="O7" s="51">
        <f>IF(K7="não", N7*(C$29+D$29),N7*(C$29+D$29)+(M7*+E$29))</f>
        <v>1360.3680000000002</v>
      </c>
      <c r="P7" s="32"/>
      <c r="Q7" s="53" t="str">
        <f t="shared" ref="Q7:Q25" si="6">B7</f>
        <v>APS Nova Prata</v>
      </c>
      <c r="R7" s="6">
        <f>H7*($C$29+$D$29)</f>
        <v>67.680000000000007</v>
      </c>
      <c r="S7" s="6">
        <f>I7*($C$29+$D$29)</f>
        <v>81.215999999999994</v>
      </c>
      <c r="T7" s="6">
        <f>L7*($C$29+$D$29)</f>
        <v>74.448000000000008</v>
      </c>
      <c r="U7" s="6">
        <f>IF(K7="não",M7*($C$29+$D$29),M7*(C$29+D$29+E$29))</f>
        <v>74.448000000000008</v>
      </c>
      <c r="V7" s="6">
        <f>VLOOKUP(Q7,'Desl. Base Passo Fundo'!$C$5:$S$23,13,FALSE())*($C$29+$D$29+$E$29*(VLOOKUP(Q7,'Desl. Base Passo Fundo'!$C$5:$S$23,17,FALSE())/12))</f>
        <v>104.84283333333336</v>
      </c>
      <c r="W7" s="6">
        <f>VLOOKUP(Q7,'Desl. Base Passo Fundo'!$C$5:$S$23,15,FALSE())*(2+(VLOOKUP(Q7,'Desl. Base Passo Fundo'!$C$5:$S$23,17,FALSE())/12))</f>
        <v>0</v>
      </c>
      <c r="X7" s="6">
        <f>VLOOKUP(Q7,'Desl. Base Passo Fundo'!$C$5:$Q$23,14,FALSE())</f>
        <v>0</v>
      </c>
      <c r="Y7" s="6">
        <f>VLOOKUP(Q7,'Desl. Base Passo Fundo'!$C$5:$Q$23,13,FALSE())*'Desl. Base Passo Fundo'!$E$28+'Desl. Base Passo Fundo'!$E$29*N7/12</f>
        <v>128.671875</v>
      </c>
      <c r="Z7" s="6">
        <f>(H7/$AC$5)*'Equipe Técnica'!$C$13</f>
        <v>299.91181580035851</v>
      </c>
      <c r="AA7" s="6">
        <f>(I7/$AC$5)*'Equipe Técnica'!$C$13</f>
        <v>359.89417896043017</v>
      </c>
      <c r="AB7" s="6">
        <f>(L7/$AC$5)*'Equipe Técnica'!$C$13</f>
        <v>329.90299738039437</v>
      </c>
      <c r="AC7" s="6">
        <f>(M7/$AC$5)*'Equipe Técnica'!$C$13</f>
        <v>329.90299738039437</v>
      </c>
      <c r="AD7" s="6">
        <f t="shared" ref="AD7:AD16" si="7">R7+(($V7+$W7+$X7+$Y7)*12/19)+$Z7</f>
        <v>515.07478948456901</v>
      </c>
      <c r="AE7" s="6">
        <f t="shared" ref="AE7:AE16" si="8">S7+(($V7+$W7+$X7+$Y7)*12/19)+$AA7</f>
        <v>588.59315264464067</v>
      </c>
      <c r="AF7" s="6">
        <f t="shared" ref="AF7:AF16" si="9">T7+(($V7+$W7+$X7+$Y7)*12/19)+$AB7</f>
        <v>551.83397106460495</v>
      </c>
      <c r="AG7" s="6">
        <f t="shared" ref="AG7:AG16" si="10">U7+(($V7+$W7+$X7+$Y7)*12/19)+$AC7</f>
        <v>551.83397106460495</v>
      </c>
      <c r="AI7" s="53" t="str">
        <f t="shared" ref="AI7:AI22" si="11">B7</f>
        <v>APS Nova Prata</v>
      </c>
      <c r="AJ7" s="63">
        <f>VLOOKUP(AI7,Unidades!D$5:H$23,5,)</f>
        <v>0.2979</v>
      </c>
      <c r="AK7" s="61">
        <f t="shared" ref="AK7" si="12">AD7*(1+$AJ7)</f>
        <v>668.51556927202216</v>
      </c>
      <c r="AL7" s="61">
        <f t="shared" ref="AL7" si="13">AE7*(1+$AJ7)</f>
        <v>763.93505281747912</v>
      </c>
      <c r="AM7" s="61">
        <f t="shared" ref="AM7" si="14">AF7*(1+$AJ7)</f>
        <v>716.22531104475081</v>
      </c>
      <c r="AN7" s="61">
        <f t="shared" ref="AN7" si="15">AG7*(1+$AJ7)</f>
        <v>716.22531104475081</v>
      </c>
      <c r="AO7" s="61">
        <f t="shared" ref="AO7" si="16">((AK7*12)+(AL7*4)+(AM7*2)+AN7)/12</f>
        <v>1102.2169146390363</v>
      </c>
      <c r="AP7" s="61">
        <f t="shared" ref="AP7" si="17">AO7*3</f>
        <v>3306.6507439171091</v>
      </c>
      <c r="AQ7" s="61">
        <f t="shared" ref="AQ7" si="18">AO7+AP7</f>
        <v>4408.8676585561452</v>
      </c>
      <c r="AR7" s="65"/>
      <c r="AS7" s="66" t="s">
        <v>73</v>
      </c>
      <c r="AT7" s="61">
        <f>AK26</f>
        <v>14340.024257389978</v>
      </c>
      <c r="AU7" s="61">
        <f>AL26</f>
        <v>16434.883454006223</v>
      </c>
      <c r="AV7" s="61">
        <f>AM26</f>
        <v>17281.72800088051</v>
      </c>
      <c r="AW7" s="61">
        <f>AN26</f>
        <v>33982.859191830328</v>
      </c>
    </row>
    <row r="8" spans="2:49" s="5" customFormat="1" ht="15" customHeight="1">
      <c r="B8" s="48" t="s">
        <v>196</v>
      </c>
      <c r="C8" s="49">
        <f>VLOOKUP($B8,Unidades!$D$5:$N$23,6,FALSE())</f>
        <v>2205.75</v>
      </c>
      <c r="D8" s="49">
        <f>VLOOKUP($B8,Unidades!$D$5:$N$23,7,FALSE())</f>
        <v>735.25</v>
      </c>
      <c r="E8" s="49">
        <f>VLOOKUP($B8,Unidades!$D$5:$N$23,8,FALSE())</f>
        <v>735.25</v>
      </c>
      <c r="F8" s="49">
        <f>VLOOKUP($B8,Unidades!$D$5:$N$23,9,FALSE())</f>
        <v>735.25</v>
      </c>
      <c r="G8" s="49">
        <f t="shared" si="0"/>
        <v>1066.1125</v>
      </c>
      <c r="H8" s="50">
        <f t="shared" si="1"/>
        <v>2</v>
      </c>
      <c r="I8" s="50">
        <f t="shared" si="2"/>
        <v>2.4</v>
      </c>
      <c r="J8" s="50" t="str">
        <f>VLOOKUP($B8,Unidades!$D$5:$N$23,10,FALSE())</f>
        <v>NÃO</v>
      </c>
      <c r="K8" s="50" t="str">
        <f>VLOOKUP($B8,Unidades!$D$5:$N$23,11,FALSE())</f>
        <v>NÃO</v>
      </c>
      <c r="L8" s="50">
        <f t="shared" si="3"/>
        <v>2.2000000000000002</v>
      </c>
      <c r="M8" s="50">
        <f t="shared" si="4"/>
        <v>2.2000000000000002</v>
      </c>
      <c r="N8" s="50">
        <f t="shared" si="5"/>
        <v>40.200000000000003</v>
      </c>
      <c r="O8" s="51">
        <f t="shared" ref="O8:O25" si="19">IF(K8="não", N8*(C$29+D$29),N8*(C$29+D$29)+(M8*+E$29))</f>
        <v>1813.8240000000003</v>
      </c>
      <c r="P8" s="32"/>
      <c r="Q8" s="53" t="str">
        <f t="shared" si="6"/>
        <v>APS Vacaria</v>
      </c>
      <c r="R8" s="6">
        <f t="shared" ref="R8:R25" si="20">H8*($C$29+$D$29)</f>
        <v>90.240000000000009</v>
      </c>
      <c r="S8" s="6">
        <f t="shared" ref="S8:S25" si="21">I8*($C$29+$D$29)</f>
        <v>108.28800000000001</v>
      </c>
      <c r="T8" s="6">
        <f t="shared" ref="T8:T25" si="22">L8*($C$29+$D$29)</f>
        <v>99.264000000000024</v>
      </c>
      <c r="U8" s="6">
        <f t="shared" ref="U8:U25" si="23">IF(K8="não",M8*($C$29+$D$29),M8*(C$29+D$29+E$29))</f>
        <v>99.264000000000024</v>
      </c>
      <c r="V8" s="6">
        <f>VLOOKUP(Q8,'Desl. Base Passo Fundo'!$C$5:$S$23,13,FALSE())*($C$29+$D$29+$E$29*(VLOOKUP(Q8,'Desl. Base Passo Fundo'!$C$5:$S$23,17,FALSE())/12))</f>
        <v>111.29600000000002</v>
      </c>
      <c r="W8" s="6">
        <f>VLOOKUP(Q8,'Desl. Base Passo Fundo'!$C$5:$S$23,15,FALSE())*(2+(VLOOKUP(Q8,'Desl. Base Passo Fundo'!$C$5:$S$23,17,FALSE())/12))</f>
        <v>0</v>
      </c>
      <c r="X8" s="6">
        <f>VLOOKUP(Q8,'Desl. Base Passo Fundo'!$C$5:$Q$23,14,FALSE())</f>
        <v>0</v>
      </c>
      <c r="Y8" s="6">
        <f>VLOOKUP(Q8,'Desl. Base Passo Fundo'!$C$5:$Q$23,13,FALSE())*'Desl. Base Passo Fundo'!$E$28+'Desl. Base Passo Fundo'!$E$29*N8/12</f>
        <v>147.9725</v>
      </c>
      <c r="Z8" s="6">
        <f>(H8/$AC$5)*'Equipe Técnica'!$C$13</f>
        <v>399.88242106714466</v>
      </c>
      <c r="AA8" s="6">
        <f>(I8/$AC$5)*'Equipe Técnica'!$C$13</f>
        <v>479.85890528057359</v>
      </c>
      <c r="AB8" s="6">
        <f>(L8/$AC$5)*'Equipe Técnica'!$C$13</f>
        <v>439.87066317385916</v>
      </c>
      <c r="AC8" s="6">
        <f>(M8/$AC$5)*'Equipe Técnica'!$C$13</f>
        <v>439.87066317385916</v>
      </c>
      <c r="AD8" s="6">
        <f t="shared" si="7"/>
        <v>653.87094738293422</v>
      </c>
      <c r="AE8" s="6">
        <f t="shared" si="8"/>
        <v>751.8954315963631</v>
      </c>
      <c r="AF8" s="6">
        <f t="shared" si="9"/>
        <v>702.88318948964866</v>
      </c>
      <c r="AG8" s="6">
        <f t="shared" si="10"/>
        <v>702.88318948964866</v>
      </c>
      <c r="AI8" s="53" t="str">
        <f t="shared" si="11"/>
        <v>APS Vacaria</v>
      </c>
      <c r="AJ8" s="63">
        <f>VLOOKUP(AI8,Unidades!D$5:H$23,5,)</f>
        <v>0.28349999999999997</v>
      </c>
      <c r="AK8" s="61">
        <f t="shared" ref="AK8:AK25" si="24">AD8*(1+$AJ8)</f>
        <v>839.24336096599609</v>
      </c>
      <c r="AL8" s="61">
        <f t="shared" ref="AL8:AL25" si="25">AE8*(1+$AJ8)</f>
        <v>965.05778645393207</v>
      </c>
      <c r="AM8" s="61">
        <f t="shared" ref="AM8:AM25" si="26">AF8*(1+$AJ8)</f>
        <v>902.15057370996408</v>
      </c>
      <c r="AN8" s="61">
        <f t="shared" ref="AN8:AN25" si="27">AG8*(1+$AJ8)</f>
        <v>902.15057370996408</v>
      </c>
      <c r="AO8" s="61">
        <f t="shared" ref="AO8:AO25" si="28">((AK8*12)+(AL8*4)+(AM8*2)+AN8)/12</f>
        <v>1386.4669332114645</v>
      </c>
      <c r="AP8" s="61">
        <f t="shared" ref="AP8:AP25" si="29">AO8*3</f>
        <v>4159.4007996343935</v>
      </c>
      <c r="AQ8" s="61">
        <f t="shared" ref="AQ8:AQ25" si="30">AO8+AP8</f>
        <v>5545.867732845858</v>
      </c>
      <c r="AR8" s="65"/>
      <c r="AS8" s="66" t="s">
        <v>74</v>
      </c>
      <c r="AT8" s="61">
        <f>AT7*12</f>
        <v>172080.29108867975</v>
      </c>
      <c r="AU8" s="61">
        <f>AU7*4</f>
        <v>65739.533816024894</v>
      </c>
      <c r="AV8" s="61">
        <f>AV7*2</f>
        <v>34563.45600176102</v>
      </c>
      <c r="AW8" s="61">
        <f>AW7</f>
        <v>33982.859191830328</v>
      </c>
    </row>
    <row r="9" spans="2:49" s="5" customFormat="1" ht="15" customHeight="1">
      <c r="B9" s="48" t="s">
        <v>198</v>
      </c>
      <c r="C9" s="49">
        <f>VLOOKUP($B9,Unidades!$D$5:$N$23,6,FALSE())</f>
        <v>824.48</v>
      </c>
      <c r="D9" s="49">
        <f>VLOOKUP($B9,Unidades!$D$5:$N$23,7,FALSE())</f>
        <v>416.95</v>
      </c>
      <c r="E9" s="49">
        <f>VLOOKUP($B9,Unidades!$D$5:$N$23,8,FALSE())</f>
        <v>407.53</v>
      </c>
      <c r="F9" s="49">
        <f>VLOOKUP($B9,Unidades!$D$5:$N$23,9,FALSE())</f>
        <v>0</v>
      </c>
      <c r="G9" s="49">
        <f t="shared" si="0"/>
        <v>559.58549999999991</v>
      </c>
      <c r="H9" s="50">
        <f t="shared" si="1"/>
        <v>1.5</v>
      </c>
      <c r="I9" s="50">
        <f t="shared" si="2"/>
        <v>1.7999999999999998</v>
      </c>
      <c r="J9" s="50" t="str">
        <f>VLOOKUP($B9,Unidades!$D$5:$N$23,10,FALSE())</f>
        <v>NÃO</v>
      </c>
      <c r="K9" s="50" t="str">
        <f>VLOOKUP($B9,Unidades!$D$5:$N$23,11,FALSE())</f>
        <v>SIM</v>
      </c>
      <c r="L9" s="50">
        <f t="shared" si="3"/>
        <v>1.6500000000000001</v>
      </c>
      <c r="M9" s="50">
        <f t="shared" si="4"/>
        <v>5.65</v>
      </c>
      <c r="N9" s="50">
        <f t="shared" si="5"/>
        <v>34.15</v>
      </c>
      <c r="O9" s="51">
        <f t="shared" si="19"/>
        <v>1712.7775000000001</v>
      </c>
      <c r="P9" s="32"/>
      <c r="Q9" s="53" t="str">
        <f t="shared" si="6"/>
        <v>APS Veranópolis</v>
      </c>
      <c r="R9" s="6">
        <f t="shared" si="20"/>
        <v>67.680000000000007</v>
      </c>
      <c r="S9" s="6">
        <f t="shared" si="21"/>
        <v>81.215999999999994</v>
      </c>
      <c r="T9" s="6">
        <f t="shared" si="22"/>
        <v>74.448000000000008</v>
      </c>
      <c r="U9" s="6">
        <f t="shared" si="23"/>
        <v>426.85750000000007</v>
      </c>
      <c r="V9" s="6">
        <f>VLOOKUP(Q9,'Desl. Base Passo Fundo'!$C$5:$S$23,13,FALSE())*($C$29+$D$29+$E$29*(VLOOKUP(Q9,'Desl. Base Passo Fundo'!$C$5:$S$23,17,FALSE())/12))</f>
        <v>104.84283333333336</v>
      </c>
      <c r="W9" s="6">
        <f>VLOOKUP(Q9,'Desl. Base Passo Fundo'!$C$5:$S$23,15,FALSE())*(2+(VLOOKUP(Q9,'Desl. Base Passo Fundo'!$C$5:$S$23,17,FALSE())/12))</f>
        <v>0</v>
      </c>
      <c r="X9" s="6">
        <f>VLOOKUP(Q9,'Desl. Base Passo Fundo'!$C$5:$Q$23,14,FALSE())</f>
        <v>0</v>
      </c>
      <c r="Y9" s="6">
        <f>VLOOKUP(Q9,'Desl. Base Passo Fundo'!$C$5:$Q$23,13,FALSE())*'Desl. Base Passo Fundo'!$E$28+'Desl. Base Passo Fundo'!$E$29*N9/12</f>
        <v>130.98854166666666</v>
      </c>
      <c r="Z9" s="6">
        <f>(H9/$AC$5)*'Equipe Técnica'!$C$13</f>
        <v>299.91181580035851</v>
      </c>
      <c r="AA9" s="6">
        <f>(I9/$AC$5)*'Equipe Técnica'!$C$13</f>
        <v>359.89417896043017</v>
      </c>
      <c r="AB9" s="6">
        <f>(L9/$AC$5)*'Equipe Técnica'!$C$13</f>
        <v>329.90299738039437</v>
      </c>
      <c r="AC9" s="6">
        <f>(M9/$AC$5)*'Equipe Técnica'!$C$13</f>
        <v>1129.6678395146839</v>
      </c>
      <c r="AD9" s="6">
        <f t="shared" si="7"/>
        <v>516.53794737930593</v>
      </c>
      <c r="AE9" s="6">
        <f t="shared" si="8"/>
        <v>590.05631053937759</v>
      </c>
      <c r="AF9" s="6">
        <f t="shared" si="9"/>
        <v>553.29712895934176</v>
      </c>
      <c r="AG9" s="6">
        <f t="shared" si="10"/>
        <v>1705.4714710936314</v>
      </c>
      <c r="AI9" s="53" t="str">
        <f t="shared" si="11"/>
        <v>APS Veranópolis</v>
      </c>
      <c r="AJ9" s="63">
        <f>VLOOKUP(AI9,Unidades!D$5:H$23,5,)</f>
        <v>0.2979</v>
      </c>
      <c r="AK9" s="61">
        <f t="shared" si="24"/>
        <v>670.41460190360124</v>
      </c>
      <c r="AL9" s="61">
        <f t="shared" si="25"/>
        <v>765.83408544905819</v>
      </c>
      <c r="AM9" s="61">
        <f t="shared" si="26"/>
        <v>718.12434367632966</v>
      </c>
      <c r="AN9" s="61">
        <f t="shared" si="27"/>
        <v>2213.5314223324244</v>
      </c>
      <c r="AO9" s="61">
        <f t="shared" si="28"/>
        <v>1229.8409728603776</v>
      </c>
      <c r="AP9" s="61">
        <f t="shared" si="29"/>
        <v>3689.5229185811331</v>
      </c>
      <c r="AQ9" s="61">
        <f t="shared" si="30"/>
        <v>4919.3638914415105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200</v>
      </c>
      <c r="C10" s="49">
        <f>VLOOKUP($B10,Unidades!$D$5:$N$23,6,FALSE())</f>
        <v>2634.28</v>
      </c>
      <c r="D10" s="49">
        <f>VLOOKUP($B10,Unidades!$D$5:$N$23,7,FALSE())</f>
        <v>991.45</v>
      </c>
      <c r="E10" s="49">
        <f>VLOOKUP($B10,Unidades!$D$5:$N$23,8,FALSE())</f>
        <v>971.83</v>
      </c>
      <c r="F10" s="49">
        <f>VLOOKUP($B10,Unidades!$D$5:$N$23,9,FALSE())</f>
        <v>671</v>
      </c>
      <c r="G10" s="49">
        <f t="shared" si="0"/>
        <v>1398.6904999999999</v>
      </c>
      <c r="H10" s="50">
        <f t="shared" si="1"/>
        <v>2</v>
      </c>
      <c r="I10" s="50">
        <f t="shared" si="2"/>
        <v>2.4</v>
      </c>
      <c r="J10" s="50" t="str">
        <f>VLOOKUP($B10,Unidades!$D$5:$N$23,10,FALSE())</f>
        <v>SIM</v>
      </c>
      <c r="K10" s="50" t="str">
        <f>VLOOKUP($B10,Unidades!$D$5:$N$23,11,FALSE())</f>
        <v>SIM</v>
      </c>
      <c r="L10" s="50">
        <f t="shared" si="3"/>
        <v>4.2</v>
      </c>
      <c r="M10" s="50">
        <f t="shared" si="4"/>
        <v>8.1999999999999993</v>
      </c>
      <c r="N10" s="50">
        <f t="shared" si="5"/>
        <v>50.2</v>
      </c>
      <c r="O10" s="51">
        <f t="shared" si="19"/>
        <v>2514.5500000000002</v>
      </c>
      <c r="P10" s="32"/>
      <c r="Q10" s="53" t="str">
        <f t="shared" si="6"/>
        <v>APS Carazinho</v>
      </c>
      <c r="R10" s="6">
        <f t="shared" si="20"/>
        <v>90.240000000000009</v>
      </c>
      <c r="S10" s="6">
        <f t="shared" si="21"/>
        <v>108.28800000000001</v>
      </c>
      <c r="T10" s="6">
        <f t="shared" si="22"/>
        <v>189.50400000000002</v>
      </c>
      <c r="U10" s="6">
        <f t="shared" si="23"/>
        <v>619.51</v>
      </c>
      <c r="V10" s="6">
        <f>VLOOKUP(Q10,'Desl. Base Passo Fundo'!$C$5:$S$23,13,FALSE())*($C$29+$D$29+$E$29*(VLOOKUP(Q10,'Desl. Base Passo Fundo'!$C$5:$S$23,17,FALSE())/12))</f>
        <v>38.521798611111116</v>
      </c>
      <c r="W10" s="6">
        <f>VLOOKUP(Q10,'Desl. Base Passo Fundo'!$C$5:$S$23,15,FALSE())*(2+(VLOOKUP(Q10,'Desl. Base Passo Fundo'!$C$5:$S$23,17,FALSE())/12))</f>
        <v>0</v>
      </c>
      <c r="X10" s="6">
        <f>VLOOKUP(Q10,'Desl. Base Passo Fundo'!$C$5:$Q$23,14,FALSE())</f>
        <v>0</v>
      </c>
      <c r="Y10" s="6">
        <f>VLOOKUP(Q10,'Desl. Base Passo Fundo'!$C$5:$Q$23,13,FALSE())*'Desl. Base Passo Fundo'!$E$28+'Desl. Base Passo Fundo'!$E$29*N10/12</f>
        <v>69.935416666666669</v>
      </c>
      <c r="Z10" s="6">
        <f>(H10/$AC$5)*'Equipe Técnica'!$C$13</f>
        <v>399.88242106714466</v>
      </c>
      <c r="AA10" s="6">
        <f>(I10/$AC$5)*'Equipe Técnica'!$C$13</f>
        <v>479.85890528057359</v>
      </c>
      <c r="AB10" s="6">
        <f>(L10/$AC$5)*'Equipe Técnica'!$C$13</f>
        <v>839.75308424100388</v>
      </c>
      <c r="AC10" s="6">
        <f>(M10/$AC$5)*'Equipe Técnica'!$C$13</f>
        <v>1639.5179263752932</v>
      </c>
      <c r="AD10" s="6">
        <f t="shared" si="7"/>
        <v>558.62171492679386</v>
      </c>
      <c r="AE10" s="6">
        <f t="shared" si="8"/>
        <v>656.64619914022273</v>
      </c>
      <c r="AF10" s="6">
        <f t="shared" si="9"/>
        <v>1097.7563781006529</v>
      </c>
      <c r="AG10" s="6">
        <f t="shared" si="10"/>
        <v>2327.5272202349424</v>
      </c>
      <c r="AI10" s="53" t="str">
        <f t="shared" si="11"/>
        <v>APS Carazinho</v>
      </c>
      <c r="AJ10" s="63">
        <f>VLOOKUP(AI10,Unidades!D$5:H$23,5,)</f>
        <v>0.2979</v>
      </c>
      <c r="AK10" s="61">
        <f t="shared" si="24"/>
        <v>725.03512380348582</v>
      </c>
      <c r="AL10" s="61">
        <f t="shared" si="25"/>
        <v>852.26110186409517</v>
      </c>
      <c r="AM10" s="61">
        <f t="shared" si="26"/>
        <v>1424.7780031368375</v>
      </c>
      <c r="AN10" s="61">
        <f t="shared" si="27"/>
        <v>3020.897579142932</v>
      </c>
      <c r="AO10" s="61">
        <f t="shared" si="28"/>
        <v>1498.3266232095682</v>
      </c>
      <c r="AP10" s="61">
        <f t="shared" si="29"/>
        <v>4494.9798696287044</v>
      </c>
      <c r="AQ10" s="61">
        <f t="shared" si="30"/>
        <v>5993.3064928382728</v>
      </c>
      <c r="AR10" s="65"/>
      <c r="AS10" s="87" t="s">
        <v>64</v>
      </c>
      <c r="AT10" s="231">
        <f>(SUM(AT8:AW8))/12</f>
        <v>25530.511674858</v>
      </c>
      <c r="AU10" s="231"/>
      <c r="AV10" s="64"/>
      <c r="AW10" s="64"/>
    </row>
    <row r="11" spans="2:49" s="5" customFormat="1" ht="15" customHeight="1">
      <c r="B11" s="48" t="s">
        <v>202</v>
      </c>
      <c r="C11" s="49">
        <f>VLOOKUP($B11,Unidades!$D$5:$N$23,6,FALSE())</f>
        <v>548.83000000000004</v>
      </c>
      <c r="D11" s="49">
        <f>VLOOKUP($B11,Unidades!$D$5:$N$23,7,FALSE())</f>
        <v>421.87</v>
      </c>
      <c r="E11" s="49">
        <f>VLOOKUP($B11,Unidades!$D$5:$N$23,8,FALSE())</f>
        <v>126.96</v>
      </c>
      <c r="F11" s="49">
        <f>VLOOKUP($B11,Unidades!$D$5:$N$23,9,FALSE())</f>
        <v>0</v>
      </c>
      <c r="G11" s="49">
        <f t="shared" si="0"/>
        <v>466.30599999999998</v>
      </c>
      <c r="H11" s="50">
        <f t="shared" si="1"/>
        <v>1.5</v>
      </c>
      <c r="I11" s="50">
        <f t="shared" si="2"/>
        <v>1.7999999999999998</v>
      </c>
      <c r="J11" s="50" t="str">
        <f>VLOOKUP($B11,Unidades!$D$5:$N$23,10,FALSE())</f>
        <v>NÃO</v>
      </c>
      <c r="K11" s="50" t="str">
        <f>VLOOKUP($B11,Unidades!$D$5:$N$23,11,FALSE())</f>
        <v>SIM</v>
      </c>
      <c r="L11" s="50">
        <f t="shared" si="3"/>
        <v>1.6500000000000001</v>
      </c>
      <c r="M11" s="50">
        <f t="shared" si="4"/>
        <v>5.65</v>
      </c>
      <c r="N11" s="50">
        <f t="shared" si="5"/>
        <v>34.15</v>
      </c>
      <c r="O11" s="51">
        <f t="shared" si="19"/>
        <v>1712.7775000000001</v>
      </c>
      <c r="P11" s="32"/>
      <c r="Q11" s="53" t="str">
        <f t="shared" si="6"/>
        <v>APS Casca</v>
      </c>
      <c r="R11" s="6">
        <f t="shared" si="20"/>
        <v>67.680000000000007</v>
      </c>
      <c r="S11" s="6">
        <f t="shared" si="21"/>
        <v>81.215999999999994</v>
      </c>
      <c r="T11" s="6">
        <f t="shared" si="22"/>
        <v>74.448000000000008</v>
      </c>
      <c r="U11" s="6">
        <f t="shared" si="23"/>
        <v>426.85750000000007</v>
      </c>
      <c r="V11" s="6">
        <f>VLOOKUP(Q11,'Desl. Base Passo Fundo'!$C$5:$S$23,13,FALSE())*($C$29+$D$29+$E$29*(VLOOKUP(Q11,'Desl. Base Passo Fundo'!$C$5:$S$23,17,FALSE())/12))</f>
        <v>55.995604166666681</v>
      </c>
      <c r="W11" s="6">
        <f>VLOOKUP(Q11,'Desl. Base Passo Fundo'!$C$5:$S$23,15,FALSE())*(2+(VLOOKUP(Q11,'Desl. Base Passo Fundo'!$C$5:$S$23,17,FALSE())/12))</f>
        <v>0</v>
      </c>
      <c r="X11" s="6">
        <f>VLOOKUP(Q11,'Desl. Base Passo Fundo'!$C$5:$Q$23,14,FALSE())</f>
        <v>0</v>
      </c>
      <c r="Y11" s="6">
        <f>VLOOKUP(Q11,'Desl. Base Passo Fundo'!$C$5:$Q$23,13,FALSE())*'Desl. Base Passo Fundo'!$E$28+'Desl. Base Passo Fundo'!$E$29*N11/12</f>
        <v>79.174791666666664</v>
      </c>
      <c r="Z11" s="6">
        <f>(H11/$AC$5)*'Equipe Técnica'!$C$13</f>
        <v>299.91181580035851</v>
      </c>
      <c r="AA11" s="6">
        <f>(I11/$AC$5)*'Equipe Técnica'!$C$13</f>
        <v>359.89417896043017</v>
      </c>
      <c r="AB11" s="6">
        <f>(L11/$AC$5)*'Equipe Técnica'!$C$13</f>
        <v>329.90299738039437</v>
      </c>
      <c r="AC11" s="6">
        <f>(M11/$AC$5)*'Equipe Técnica'!$C$13</f>
        <v>1129.6678395146839</v>
      </c>
      <c r="AD11" s="6">
        <f t="shared" si="7"/>
        <v>452.96259211614802</v>
      </c>
      <c r="AE11" s="6">
        <f t="shared" si="8"/>
        <v>526.48095527621967</v>
      </c>
      <c r="AF11" s="6">
        <f t="shared" si="9"/>
        <v>489.72177369618385</v>
      </c>
      <c r="AG11" s="6">
        <f t="shared" si="10"/>
        <v>1641.8961158304735</v>
      </c>
      <c r="AI11" s="53" t="str">
        <f t="shared" si="11"/>
        <v>APS Casca</v>
      </c>
      <c r="AJ11" s="63">
        <f>VLOOKUP(AI11,Unidades!D$5:H$23,5,)</f>
        <v>0.28349999999999997</v>
      </c>
      <c r="AK11" s="61">
        <f t="shared" si="24"/>
        <v>581.377486981076</v>
      </c>
      <c r="AL11" s="61">
        <f t="shared" si="25"/>
        <v>675.73830609702804</v>
      </c>
      <c r="AM11" s="61">
        <f t="shared" si="26"/>
        <v>628.55789653905197</v>
      </c>
      <c r="AN11" s="61">
        <f t="shared" si="27"/>
        <v>2107.3736646684129</v>
      </c>
      <c r="AO11" s="61">
        <f t="shared" si="28"/>
        <v>1086.9977104922953</v>
      </c>
      <c r="AP11" s="61">
        <f t="shared" si="29"/>
        <v>3260.9931314768855</v>
      </c>
      <c r="AQ11" s="61">
        <f t="shared" si="30"/>
        <v>4347.990841969181</v>
      </c>
      <c r="AR11" s="65"/>
      <c r="AS11" s="87" t="s">
        <v>75</v>
      </c>
      <c r="AT11" s="231">
        <f>AT10*12</f>
        <v>306366.14009829599</v>
      </c>
      <c r="AU11" s="231"/>
      <c r="AV11" s="64"/>
      <c r="AW11" s="64"/>
    </row>
    <row r="12" spans="2:49" s="5" customFormat="1" ht="15" customHeight="1">
      <c r="B12" s="48" t="s">
        <v>204</v>
      </c>
      <c r="C12" s="49">
        <f>VLOOKUP($B12,Unidades!$D$5:$N$23,6,FALSE())</f>
        <v>2708.27</v>
      </c>
      <c r="D12" s="49">
        <f>VLOOKUP($B12,Unidades!$D$5:$N$23,7,FALSE())</f>
        <v>1355.18</v>
      </c>
      <c r="E12" s="49">
        <f>VLOOKUP($B12,Unidades!$D$5:$N$23,8,FALSE())</f>
        <v>1078.3</v>
      </c>
      <c r="F12" s="49">
        <f>VLOOKUP($B12,Unidades!$D$5:$N$23,9,FALSE())</f>
        <v>274.79000000000002</v>
      </c>
      <c r="G12" s="49">
        <f t="shared" si="0"/>
        <v>1760.0640000000001</v>
      </c>
      <c r="H12" s="50">
        <f t="shared" si="1"/>
        <v>2</v>
      </c>
      <c r="I12" s="50">
        <f t="shared" si="2"/>
        <v>2.4</v>
      </c>
      <c r="J12" s="50" t="str">
        <f>VLOOKUP($B12,Unidades!$D$5:$N$23,10,FALSE())</f>
        <v>NÃO</v>
      </c>
      <c r="K12" s="50" t="str">
        <f>VLOOKUP($B12,Unidades!$D$5:$N$23,11,FALSE())</f>
        <v>SIM</v>
      </c>
      <c r="L12" s="50">
        <f t="shared" si="3"/>
        <v>2.2000000000000002</v>
      </c>
      <c r="M12" s="50">
        <f t="shared" si="4"/>
        <v>6.2</v>
      </c>
      <c r="N12" s="50">
        <f t="shared" si="5"/>
        <v>44.2</v>
      </c>
      <c r="O12" s="51">
        <f t="shared" si="19"/>
        <v>2182.9700000000003</v>
      </c>
      <c r="P12" s="32"/>
      <c r="Q12" s="53" t="str">
        <f t="shared" si="6"/>
        <v>APS Erechim</v>
      </c>
      <c r="R12" s="6">
        <f t="shared" si="20"/>
        <v>90.240000000000009</v>
      </c>
      <c r="S12" s="6">
        <f t="shared" si="21"/>
        <v>108.28800000000001</v>
      </c>
      <c r="T12" s="6">
        <f t="shared" si="22"/>
        <v>99.264000000000024</v>
      </c>
      <c r="U12" s="6">
        <f t="shared" si="23"/>
        <v>468.41000000000008</v>
      </c>
      <c r="V12" s="6">
        <f>VLOOKUP(Q12,'Desl. Base Passo Fundo'!$C$5:$S$23,13,FALSE())*($C$29+$D$29+$E$29*(VLOOKUP(Q12,'Desl. Base Passo Fundo'!$C$5:$S$23,17,FALSE())/12))</f>
        <v>65.129638888888906</v>
      </c>
      <c r="W12" s="6">
        <f>VLOOKUP(Q12,'Desl. Base Passo Fundo'!$C$5:$S$23,15,FALSE())*(2+(VLOOKUP(Q12,'Desl. Base Passo Fundo'!$C$5:$S$23,17,FALSE())/12))</f>
        <v>0</v>
      </c>
      <c r="X12" s="6">
        <f>VLOOKUP(Q12,'Desl. Base Passo Fundo'!$C$5:$Q$23,14,FALSE())</f>
        <v>2.4500000000000002</v>
      </c>
      <c r="Y12" s="6">
        <f>VLOOKUP(Q12,'Desl. Base Passo Fundo'!$C$5:$Q$23,13,FALSE())*'Desl. Base Passo Fundo'!$E$28+'Desl. Base Passo Fundo'!$E$29*N12/12</f>
        <v>94.68416666666667</v>
      </c>
      <c r="Z12" s="6">
        <f>(H12/$AC$5)*'Equipe Técnica'!$C$13</f>
        <v>399.88242106714466</v>
      </c>
      <c r="AA12" s="6">
        <f>(I12/$AC$5)*'Equipe Técnica'!$C$13</f>
        <v>479.85890528057359</v>
      </c>
      <c r="AB12" s="6">
        <f>(L12/$AC$5)*'Equipe Técnica'!$C$13</f>
        <v>439.87066317385916</v>
      </c>
      <c r="AC12" s="6">
        <f>(M12/$AC$5)*'Equipe Técnica'!$C$13</f>
        <v>1239.6355053081486</v>
      </c>
      <c r="AD12" s="6">
        <f t="shared" si="7"/>
        <v>592.60482457591661</v>
      </c>
      <c r="AE12" s="6">
        <f t="shared" si="8"/>
        <v>690.62930878934549</v>
      </c>
      <c r="AF12" s="6">
        <f t="shared" si="9"/>
        <v>641.61706668263105</v>
      </c>
      <c r="AG12" s="6">
        <f t="shared" si="10"/>
        <v>1810.5279088169207</v>
      </c>
      <c r="AI12" s="53" t="str">
        <f t="shared" si="11"/>
        <v>APS Erechim</v>
      </c>
      <c r="AJ12" s="63">
        <f>VLOOKUP(AI12,Unidades!D$5:H$23,5,)</f>
        <v>0.32779999999999998</v>
      </c>
      <c r="AK12" s="61">
        <f t="shared" si="24"/>
        <v>786.86068607190202</v>
      </c>
      <c r="AL12" s="61">
        <f t="shared" si="25"/>
        <v>917.0175962104928</v>
      </c>
      <c r="AM12" s="61">
        <f t="shared" si="26"/>
        <v>851.93914114119741</v>
      </c>
      <c r="AN12" s="61">
        <f t="shared" si="27"/>
        <v>2404.0189573271068</v>
      </c>
      <c r="AO12" s="61">
        <f t="shared" si="28"/>
        <v>1434.8579881095247</v>
      </c>
      <c r="AP12" s="61">
        <f t="shared" si="29"/>
        <v>4304.5739643285742</v>
      </c>
      <c r="AQ12" s="61">
        <f t="shared" si="30"/>
        <v>5739.431952438099</v>
      </c>
      <c r="AR12" s="65"/>
      <c r="AS12" s="87" t="s">
        <v>65</v>
      </c>
      <c r="AT12" s="231">
        <f>AT10*3</f>
        <v>76591.535024573997</v>
      </c>
      <c r="AU12" s="231"/>
      <c r="AV12" s="65"/>
      <c r="AW12" s="65"/>
    </row>
    <row r="13" spans="2:49" s="5" customFormat="1" ht="15" customHeight="1">
      <c r="B13" s="48" t="s">
        <v>206</v>
      </c>
      <c r="C13" s="49">
        <f>VLOOKUP($B13,Unidades!$D$5:$N$23,6,FALSE())</f>
        <v>798.65</v>
      </c>
      <c r="D13" s="49">
        <f>VLOOKUP($B13,Unidades!$D$5:$N$23,7,FALSE())</f>
        <v>287.86</v>
      </c>
      <c r="E13" s="49">
        <f>VLOOKUP($B13,Unidades!$D$5:$N$23,8,FALSE())</f>
        <v>55.73</v>
      </c>
      <c r="F13" s="49">
        <f>VLOOKUP($B13,Unidades!$D$5:$N$23,9,FALSE())</f>
        <v>455.06</v>
      </c>
      <c r="G13" s="49">
        <f t="shared" si="0"/>
        <v>352.87149999999997</v>
      </c>
      <c r="H13" s="50">
        <f t="shared" si="1"/>
        <v>1.5</v>
      </c>
      <c r="I13" s="50">
        <f t="shared" si="2"/>
        <v>1.7999999999999998</v>
      </c>
      <c r="J13" s="50" t="str">
        <f>VLOOKUP($B13,Unidades!$D$5:$N$23,10,FALSE())</f>
        <v>NÃO</v>
      </c>
      <c r="K13" s="50" t="str">
        <f>VLOOKUP($B13,Unidades!$D$5:$N$23,11,FALSE())</f>
        <v>NÃO</v>
      </c>
      <c r="L13" s="50">
        <f t="shared" si="3"/>
        <v>1.6500000000000001</v>
      </c>
      <c r="M13" s="50">
        <f t="shared" si="4"/>
        <v>1.6500000000000001</v>
      </c>
      <c r="N13" s="50">
        <f t="shared" si="5"/>
        <v>30.15</v>
      </c>
      <c r="O13" s="51">
        <f t="shared" si="19"/>
        <v>1360.3680000000002</v>
      </c>
      <c r="P13" s="32"/>
      <c r="Q13" s="53" t="str">
        <f t="shared" si="6"/>
        <v>APS Espumoso</v>
      </c>
      <c r="R13" s="6">
        <f t="shared" si="20"/>
        <v>67.680000000000007</v>
      </c>
      <c r="S13" s="6">
        <f t="shared" si="21"/>
        <v>81.215999999999994</v>
      </c>
      <c r="T13" s="6">
        <f t="shared" si="22"/>
        <v>74.448000000000008</v>
      </c>
      <c r="U13" s="6">
        <f t="shared" si="23"/>
        <v>74.448000000000008</v>
      </c>
      <c r="V13" s="6">
        <f>VLOOKUP(Q13,'Desl. Base Passo Fundo'!$C$5:$S$23,13,FALSE())*($C$29+$D$29+$E$29*(VLOOKUP(Q13,'Desl. Base Passo Fundo'!$C$5:$S$23,17,FALSE())/12))</f>
        <v>68.703826388888899</v>
      </c>
      <c r="W13" s="6">
        <f>VLOOKUP(Q13,'Desl. Base Passo Fundo'!$C$5:$S$23,15,FALSE())*(2+(VLOOKUP(Q13,'Desl. Base Passo Fundo'!$C$5:$S$23,17,FALSE())/12))</f>
        <v>0</v>
      </c>
      <c r="X13" s="6">
        <f>VLOOKUP(Q13,'Desl. Base Passo Fundo'!$C$5:$Q$23,14,FALSE())</f>
        <v>0</v>
      </c>
      <c r="Y13" s="6">
        <f>VLOOKUP(Q13,'Desl. Base Passo Fundo'!$C$5:$Q$23,13,FALSE())*'Desl. Base Passo Fundo'!$E$28+'Desl. Base Passo Fundo'!$E$29*N13/12</f>
        <v>90.338124999999991</v>
      </c>
      <c r="Z13" s="6">
        <f>(H13/$AC$5)*'Equipe Técnica'!$C$13</f>
        <v>299.91181580035851</v>
      </c>
      <c r="AA13" s="6">
        <f>(I13/$AC$5)*'Equipe Técnica'!$C$13</f>
        <v>359.89417896043017</v>
      </c>
      <c r="AB13" s="6">
        <f>(L13/$AC$5)*'Equipe Técnica'!$C$13</f>
        <v>329.90299738039437</v>
      </c>
      <c r="AC13" s="6">
        <f>(M13/$AC$5)*'Equipe Técnica'!$C$13</f>
        <v>329.90299738039437</v>
      </c>
      <c r="AD13" s="6">
        <f t="shared" si="7"/>
        <v>468.03936404597255</v>
      </c>
      <c r="AE13" s="6">
        <f t="shared" si="8"/>
        <v>541.55772720604421</v>
      </c>
      <c r="AF13" s="6">
        <f t="shared" si="9"/>
        <v>504.79854562600838</v>
      </c>
      <c r="AG13" s="6">
        <f t="shared" si="10"/>
        <v>504.79854562600838</v>
      </c>
      <c r="AI13" s="53" t="str">
        <f t="shared" si="11"/>
        <v>APS Espumoso</v>
      </c>
      <c r="AJ13" s="63">
        <f>VLOOKUP(AI13,Unidades!D$5:H$23,5,)</f>
        <v>0.31269999999999998</v>
      </c>
      <c r="AK13" s="61">
        <f t="shared" si="24"/>
        <v>614.39527318314811</v>
      </c>
      <c r="AL13" s="61">
        <f t="shared" si="25"/>
        <v>710.90282850337417</v>
      </c>
      <c r="AM13" s="61">
        <f t="shared" si="26"/>
        <v>662.64905084326119</v>
      </c>
      <c r="AN13" s="61">
        <f t="shared" si="27"/>
        <v>662.64905084326119</v>
      </c>
      <c r="AO13" s="61">
        <f t="shared" si="28"/>
        <v>1017.0251453950881</v>
      </c>
      <c r="AP13" s="61">
        <f t="shared" si="29"/>
        <v>3051.0754361852642</v>
      </c>
      <c r="AQ13" s="61">
        <f t="shared" si="30"/>
        <v>4068.1005815803524</v>
      </c>
      <c r="AR13" s="65"/>
      <c r="AS13" s="87" t="s">
        <v>76</v>
      </c>
      <c r="AT13" s="231">
        <f>AT12*12</f>
        <v>919098.42029488797</v>
      </c>
      <c r="AU13" s="231"/>
      <c r="AV13" s="64"/>
      <c r="AW13" s="64"/>
    </row>
    <row r="14" spans="2:49" s="5" customFormat="1" ht="15" customHeight="1">
      <c r="B14" s="48" t="s">
        <v>208</v>
      </c>
      <c r="C14" s="49">
        <f>VLOOKUP($B14,Unidades!$D$5:$N$23,6,FALSE())</f>
        <v>334.4</v>
      </c>
      <c r="D14" s="49">
        <f>VLOOKUP($B14,Unidades!$D$5:$N$23,7,FALSE())</f>
        <v>296</v>
      </c>
      <c r="E14" s="49">
        <f>VLOOKUP($B14,Unidades!$D$5:$N$23,8,FALSE())</f>
        <v>38.4</v>
      </c>
      <c r="F14" s="49">
        <f>VLOOKUP($B14,Unidades!$D$5:$N$23,9,FALSE())</f>
        <v>0</v>
      </c>
      <c r="G14" s="49">
        <f t="shared" si="0"/>
        <v>309.44</v>
      </c>
      <c r="H14" s="50">
        <f t="shared" si="1"/>
        <v>1.5</v>
      </c>
      <c r="I14" s="50">
        <f t="shared" si="2"/>
        <v>1.7999999999999998</v>
      </c>
      <c r="J14" s="50" t="str">
        <f>VLOOKUP($B14,Unidades!$D$5:$N$23,10,FALSE())</f>
        <v>NÃO</v>
      </c>
      <c r="K14" s="50" t="str">
        <f>VLOOKUP($B14,Unidades!$D$5:$N$23,11,FALSE())</f>
        <v>NÃO</v>
      </c>
      <c r="L14" s="50">
        <f t="shared" si="3"/>
        <v>1.6500000000000001</v>
      </c>
      <c r="M14" s="50">
        <f t="shared" si="4"/>
        <v>1.6500000000000001</v>
      </c>
      <c r="N14" s="50">
        <f t="shared" si="5"/>
        <v>30.15</v>
      </c>
      <c r="O14" s="51">
        <f t="shared" si="19"/>
        <v>1360.3680000000002</v>
      </c>
      <c r="P14" s="32"/>
      <c r="Q14" s="53" t="str">
        <f t="shared" si="6"/>
        <v>APS Getúlio Vargas</v>
      </c>
      <c r="R14" s="6">
        <f t="shared" si="20"/>
        <v>67.680000000000007</v>
      </c>
      <c r="S14" s="6">
        <f t="shared" si="21"/>
        <v>81.215999999999994</v>
      </c>
      <c r="T14" s="6">
        <f t="shared" si="22"/>
        <v>74.448000000000008</v>
      </c>
      <c r="U14" s="6">
        <f t="shared" si="23"/>
        <v>74.448000000000008</v>
      </c>
      <c r="V14" s="6">
        <f>VLOOKUP(Q14,'Desl. Base Passo Fundo'!$C$5:$S$23,13,FALSE())*($C$29+$D$29+$E$29*(VLOOKUP(Q14,'Desl. Base Passo Fundo'!$C$5:$S$23,17,FALSE())/12))</f>
        <v>65.129638888888906</v>
      </c>
      <c r="W14" s="6">
        <f>VLOOKUP(Q14,'Desl. Base Passo Fundo'!$C$5:$S$23,15,FALSE())*(2+(VLOOKUP(Q14,'Desl. Base Passo Fundo'!$C$5:$S$23,17,FALSE())/12))</f>
        <v>0</v>
      </c>
      <c r="X14" s="6">
        <f>VLOOKUP(Q14,'Desl. Base Passo Fundo'!$C$5:$Q$23,14,FALSE())</f>
        <v>2.4500000000000002</v>
      </c>
      <c r="Y14" s="6">
        <f>VLOOKUP(Q14,'Desl. Base Passo Fundo'!$C$5:$Q$23,13,FALSE())*'Desl. Base Passo Fundo'!$E$28+'Desl. Base Passo Fundo'!$E$29*N14/12</f>
        <v>86.546875</v>
      </c>
      <c r="Z14" s="6">
        <f>(H14/$AC$5)*'Equipe Técnica'!$C$13</f>
        <v>299.91181580035851</v>
      </c>
      <c r="AA14" s="6">
        <f>(I14/$AC$5)*'Equipe Técnica'!$C$13</f>
        <v>359.89417896043017</v>
      </c>
      <c r="AB14" s="6">
        <f>(L14/$AC$5)*'Equipe Técnica'!$C$13</f>
        <v>329.90299738039437</v>
      </c>
      <c r="AC14" s="6">
        <f>(M14/$AC$5)*'Equipe Técnica'!$C$13</f>
        <v>329.90299738039437</v>
      </c>
      <c r="AD14" s="6">
        <f t="shared" si="7"/>
        <v>464.9348772038673</v>
      </c>
      <c r="AE14" s="6">
        <f t="shared" si="8"/>
        <v>538.4532403639389</v>
      </c>
      <c r="AF14" s="6">
        <f t="shared" si="9"/>
        <v>501.69405878390313</v>
      </c>
      <c r="AG14" s="6">
        <f t="shared" si="10"/>
        <v>501.69405878390313</v>
      </c>
      <c r="AI14" s="53" t="str">
        <f t="shared" si="11"/>
        <v>APS Getúlio Vargas</v>
      </c>
      <c r="AJ14" s="63">
        <f>VLOOKUP(AI14,Unidades!D$5:H$23,5,)</f>
        <v>0.2979</v>
      </c>
      <c r="AK14" s="61">
        <f t="shared" si="24"/>
        <v>603.43897712289936</v>
      </c>
      <c r="AL14" s="61">
        <f t="shared" si="25"/>
        <v>698.85846066835632</v>
      </c>
      <c r="AM14" s="61">
        <f t="shared" si="26"/>
        <v>651.14871889562789</v>
      </c>
      <c r="AN14" s="61">
        <f t="shared" si="27"/>
        <v>651.14871889562789</v>
      </c>
      <c r="AO14" s="61">
        <f t="shared" si="28"/>
        <v>999.17897706959172</v>
      </c>
      <c r="AP14" s="61">
        <f t="shared" si="29"/>
        <v>2997.5369312087751</v>
      </c>
      <c r="AQ14" s="61">
        <f t="shared" si="30"/>
        <v>3996.7159082783669</v>
      </c>
      <c r="AR14" s="65"/>
      <c r="AS14" s="87" t="s">
        <v>77</v>
      </c>
      <c r="AT14" s="231">
        <f>AT10+AT12</f>
        <v>102122.046699432</v>
      </c>
      <c r="AU14" s="231"/>
      <c r="AV14" s="64"/>
      <c r="AW14" s="64"/>
    </row>
    <row r="15" spans="2:49" s="5" customFormat="1" ht="15" customHeight="1">
      <c r="B15" s="48" t="s">
        <v>210</v>
      </c>
      <c r="C15" s="49">
        <f>VLOOKUP($B15,Unidades!$D$5:$N$23,6,FALSE())</f>
        <v>1100.01</v>
      </c>
      <c r="D15" s="49">
        <f>VLOOKUP($B15,Unidades!$D$5:$N$23,7,FALSE())</f>
        <v>369.82</v>
      </c>
      <c r="E15" s="49">
        <f>VLOOKUP($B15,Unidades!$D$5:$N$23,8,FALSE())</f>
        <v>462.06</v>
      </c>
      <c r="F15" s="49">
        <f>VLOOKUP($B15,Unidades!$D$5:$N$23,9,FALSE())</f>
        <v>268.13</v>
      </c>
      <c r="G15" s="49">
        <f t="shared" si="0"/>
        <v>558.35399999999993</v>
      </c>
      <c r="H15" s="50">
        <f t="shared" si="1"/>
        <v>1.5</v>
      </c>
      <c r="I15" s="50">
        <f t="shared" si="2"/>
        <v>1.7999999999999998</v>
      </c>
      <c r="J15" s="50" t="str">
        <f>VLOOKUP($B15,Unidades!$D$5:$N$23,10,FALSE())</f>
        <v>SIM</v>
      </c>
      <c r="K15" s="50" t="str">
        <f>VLOOKUP($B15,Unidades!$D$5:$N$23,11,FALSE())</f>
        <v>NÃO</v>
      </c>
      <c r="L15" s="50">
        <f t="shared" si="3"/>
        <v>3.6500000000000004</v>
      </c>
      <c r="M15" s="50">
        <f t="shared" si="4"/>
        <v>3.6500000000000004</v>
      </c>
      <c r="N15" s="50">
        <f t="shared" si="5"/>
        <v>36.15</v>
      </c>
      <c r="O15" s="51">
        <f t="shared" si="19"/>
        <v>1631.0880000000002</v>
      </c>
      <c r="P15" s="32"/>
      <c r="Q15" s="53" t="str">
        <f t="shared" si="6"/>
        <v>APS Guaporé</v>
      </c>
      <c r="R15" s="6">
        <f t="shared" si="20"/>
        <v>67.680000000000007</v>
      </c>
      <c r="S15" s="6">
        <f t="shared" si="21"/>
        <v>81.215999999999994</v>
      </c>
      <c r="T15" s="6">
        <f t="shared" si="22"/>
        <v>164.68800000000005</v>
      </c>
      <c r="U15" s="6">
        <f t="shared" si="23"/>
        <v>164.68800000000005</v>
      </c>
      <c r="V15" s="6">
        <f>VLOOKUP(Q15,'Desl. Base Passo Fundo'!$C$5:$S$23,13,FALSE())*($C$29+$D$29+$E$29*(VLOOKUP(Q15,'Desl. Base Passo Fundo'!$C$5:$S$23,17,FALSE())/12))</f>
        <v>82.603444444444463</v>
      </c>
      <c r="W15" s="6">
        <f>VLOOKUP(Q15,'Desl. Base Passo Fundo'!$C$5:$S$23,15,FALSE())*(2+(VLOOKUP(Q15,'Desl. Base Passo Fundo'!$C$5:$S$23,17,FALSE())/12))</f>
        <v>0</v>
      </c>
      <c r="X15" s="6">
        <f>VLOOKUP(Q15,'Desl. Base Passo Fundo'!$C$5:$Q$23,14,FALSE())</f>
        <v>0</v>
      </c>
      <c r="Y15" s="6">
        <f>VLOOKUP(Q15,'Desl. Base Passo Fundo'!$C$5:$Q$23,13,FALSE())*'Desl. Base Passo Fundo'!$E$28+'Desl. Base Passo Fundo'!$E$29*N15/12</f>
        <v>108.55687500000001</v>
      </c>
      <c r="Z15" s="6">
        <f>(H15/$AC$5)*'Equipe Técnica'!$C$13</f>
        <v>299.91181580035851</v>
      </c>
      <c r="AA15" s="6">
        <f>(I15/$AC$5)*'Equipe Técnica'!$C$13</f>
        <v>359.89417896043017</v>
      </c>
      <c r="AB15" s="6">
        <f>(L15/$AC$5)*'Equipe Técnica'!$C$13</f>
        <v>729.78541844753909</v>
      </c>
      <c r="AC15" s="6">
        <f>(M15/$AC$5)*'Equipe Técnica'!$C$13</f>
        <v>729.78541844753909</v>
      </c>
      <c r="AD15" s="6">
        <f t="shared" si="7"/>
        <v>488.32464913369188</v>
      </c>
      <c r="AE15" s="6">
        <f t="shared" si="8"/>
        <v>561.84301229376354</v>
      </c>
      <c r="AF15" s="6">
        <f t="shared" si="9"/>
        <v>1015.2062517808724</v>
      </c>
      <c r="AG15" s="6">
        <f t="shared" si="10"/>
        <v>1015.2062517808724</v>
      </c>
      <c r="AI15" s="53" t="str">
        <f t="shared" si="11"/>
        <v>APS Guaporé</v>
      </c>
      <c r="AJ15" s="63">
        <f>VLOOKUP(AI15,Unidades!D$5:H$23,5,)</f>
        <v>0.28349999999999997</v>
      </c>
      <c r="AK15" s="61">
        <f t="shared" si="24"/>
        <v>626.76468716309353</v>
      </c>
      <c r="AL15" s="61">
        <f t="shared" si="25"/>
        <v>721.12550627904557</v>
      </c>
      <c r="AM15" s="61">
        <f t="shared" si="26"/>
        <v>1303.0172241607499</v>
      </c>
      <c r="AN15" s="61">
        <f t="shared" si="27"/>
        <v>1303.0172241607499</v>
      </c>
      <c r="AO15" s="61">
        <f t="shared" si="28"/>
        <v>1192.8941619629629</v>
      </c>
      <c r="AP15" s="61">
        <f t="shared" si="29"/>
        <v>3578.6824858888886</v>
      </c>
      <c r="AQ15" s="61">
        <f t="shared" si="30"/>
        <v>4771.5766478518517</v>
      </c>
      <c r="AR15" s="65"/>
      <c r="AS15" s="87" t="s">
        <v>78</v>
      </c>
      <c r="AT15" s="231">
        <f>AT11+AT13</f>
        <v>1225464.560393184</v>
      </c>
      <c r="AU15" s="231"/>
      <c r="AV15" s="65"/>
      <c r="AW15" s="65"/>
    </row>
    <row r="16" spans="2:49" s="5" customFormat="1" ht="15" customHeight="1">
      <c r="B16" s="48" t="s">
        <v>212</v>
      </c>
      <c r="C16" s="49">
        <f>VLOOKUP($B16,Unidades!$D$5:$N$23,6,FALSE())</f>
        <v>1798.01</v>
      </c>
      <c r="D16" s="49">
        <f>VLOOKUP($B16,Unidades!$D$5:$N$23,7,FALSE())</f>
        <v>530.66</v>
      </c>
      <c r="E16" s="49">
        <f>VLOOKUP($B16,Unidades!$D$5:$N$23,8,FALSE())</f>
        <v>728.84</v>
      </c>
      <c r="F16" s="49">
        <f>VLOOKUP($B16,Unidades!$D$5:$N$23,9,FALSE())</f>
        <v>538.51</v>
      </c>
      <c r="G16" s="49">
        <f t="shared" si="0"/>
        <v>839.6049999999999</v>
      </c>
      <c r="H16" s="50">
        <f t="shared" si="1"/>
        <v>2</v>
      </c>
      <c r="I16" s="50">
        <f t="shared" si="2"/>
        <v>2.4</v>
      </c>
      <c r="J16" s="50" t="str">
        <f>VLOOKUP($B16,Unidades!$D$5:$N$23,10,FALSE())</f>
        <v>NÃO</v>
      </c>
      <c r="K16" s="50" t="str">
        <f>VLOOKUP($B16,Unidades!$D$5:$N$23,11,FALSE())</f>
        <v>NÃO</v>
      </c>
      <c r="L16" s="50">
        <f t="shared" si="3"/>
        <v>2.2000000000000002</v>
      </c>
      <c r="M16" s="50">
        <f t="shared" si="4"/>
        <v>2.2000000000000002</v>
      </c>
      <c r="N16" s="50">
        <f t="shared" si="5"/>
        <v>40.200000000000003</v>
      </c>
      <c r="O16" s="51">
        <f t="shared" si="19"/>
        <v>1813.8240000000003</v>
      </c>
      <c r="P16" s="32"/>
      <c r="Q16" s="53" t="str">
        <f t="shared" si="6"/>
        <v>APS Lagoa Vermelha</v>
      </c>
      <c r="R16" s="6">
        <f t="shared" si="20"/>
        <v>90.240000000000009</v>
      </c>
      <c r="S16" s="6">
        <f t="shared" si="21"/>
        <v>108.28800000000001</v>
      </c>
      <c r="T16" s="6">
        <f t="shared" si="22"/>
        <v>99.264000000000024</v>
      </c>
      <c r="U16" s="6">
        <f t="shared" si="23"/>
        <v>99.264000000000024</v>
      </c>
      <c r="V16" s="6">
        <f>VLOOKUP(Q16,'Desl. Base Passo Fundo'!$C$5:$S$23,13,FALSE())*($C$29+$D$29+$E$29*(VLOOKUP(Q16,'Desl. Base Passo Fundo'!$C$5:$S$23,17,FALSE())/12))</f>
        <v>111.29600000000002</v>
      </c>
      <c r="W16" s="6">
        <f>VLOOKUP(Q16,'Desl. Base Passo Fundo'!$C$5:$S$23,15,FALSE())*(2+(VLOOKUP(Q16,'Desl. Base Passo Fundo'!$C$5:$S$23,17,FALSE())/12))</f>
        <v>0</v>
      </c>
      <c r="X16" s="6">
        <f>VLOOKUP(Q16,'Desl. Base Passo Fundo'!$C$5:$Q$23,14,FALSE())</f>
        <v>0</v>
      </c>
      <c r="Y16" s="6">
        <f>VLOOKUP(Q16,'Desl. Base Passo Fundo'!$C$5:$Q$23,13,FALSE())*'Desl. Base Passo Fundo'!$E$28+'Desl. Base Passo Fundo'!$E$29*N16/12</f>
        <v>147.9725</v>
      </c>
      <c r="Z16" s="6">
        <f>(H16/$AC$5)*'Equipe Técnica'!$C$13</f>
        <v>399.88242106714466</v>
      </c>
      <c r="AA16" s="6">
        <f>(I16/$AC$5)*'Equipe Técnica'!$C$13</f>
        <v>479.85890528057359</v>
      </c>
      <c r="AB16" s="6">
        <f>(L16/$AC$5)*'Equipe Técnica'!$C$13</f>
        <v>439.87066317385916</v>
      </c>
      <c r="AC16" s="6">
        <f>(M16/$AC$5)*'Equipe Técnica'!$C$13</f>
        <v>439.87066317385916</v>
      </c>
      <c r="AD16" s="6">
        <f t="shared" si="7"/>
        <v>653.87094738293422</v>
      </c>
      <c r="AE16" s="6">
        <f t="shared" si="8"/>
        <v>751.8954315963631</v>
      </c>
      <c r="AF16" s="6">
        <f t="shared" si="9"/>
        <v>702.88318948964866</v>
      </c>
      <c r="AG16" s="6">
        <f t="shared" si="10"/>
        <v>702.88318948964866</v>
      </c>
      <c r="AI16" s="53" t="str">
        <f t="shared" si="11"/>
        <v>APS Lagoa Vermelha</v>
      </c>
      <c r="AJ16" s="63">
        <f>VLOOKUP(AI16,Unidades!D$5:H$23,5,)</f>
        <v>0.2979</v>
      </c>
      <c r="AK16" s="61">
        <f t="shared" si="24"/>
        <v>848.65910260831038</v>
      </c>
      <c r="AL16" s="61">
        <f t="shared" si="25"/>
        <v>975.88508066891973</v>
      </c>
      <c r="AM16" s="61">
        <f t="shared" si="26"/>
        <v>912.27209163861505</v>
      </c>
      <c r="AN16" s="61">
        <f t="shared" si="27"/>
        <v>912.27209163861505</v>
      </c>
      <c r="AO16" s="61">
        <f t="shared" si="28"/>
        <v>1402.0221524076039</v>
      </c>
      <c r="AP16" s="61">
        <f t="shared" si="29"/>
        <v>4206.0664572228116</v>
      </c>
      <c r="AQ16" s="61">
        <f t="shared" si="30"/>
        <v>5608.0886096304157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214</v>
      </c>
      <c r="C17" s="49">
        <f>VLOOKUP($B17,Unidades!$D$5:$N$23,6,FALSE())</f>
        <v>321.99</v>
      </c>
      <c r="D17" s="49">
        <f>VLOOKUP($B17,Unidades!$D$5:$N$23,7,FALSE())</f>
        <v>317.68</v>
      </c>
      <c r="E17" s="49">
        <f>VLOOKUP($B17,Unidades!$D$5:$N$23,8,FALSE())</f>
        <v>4.3099999999999996</v>
      </c>
      <c r="F17" s="49">
        <f>VLOOKUP($B17,Unidades!$D$5:$N$23,9,FALSE())</f>
        <v>0</v>
      </c>
      <c r="G17" s="49">
        <f t="shared" si="0"/>
        <v>319.18850000000003</v>
      </c>
      <c r="H17" s="50">
        <f t="shared" si="1"/>
        <v>1.5</v>
      </c>
      <c r="I17" s="50">
        <f t="shared" si="2"/>
        <v>1.7999999999999998</v>
      </c>
      <c r="J17" s="50" t="str">
        <f>VLOOKUP($B17,Unidades!$D$5:$N$23,10,FALSE())</f>
        <v>NÃO</v>
      </c>
      <c r="K17" s="50" t="str">
        <f>VLOOKUP($B17,Unidades!$D$5:$N$23,11,FALSE())</f>
        <v>SIM</v>
      </c>
      <c r="L17" s="50">
        <f t="shared" si="3"/>
        <v>1.6500000000000001</v>
      </c>
      <c r="M17" s="50">
        <f t="shared" ref="M17:M22" si="31">$M$6*H17+(IF(J17="SIM",$J$6,0))+(IF(K17="SIM",$K$6,0))</f>
        <v>5.65</v>
      </c>
      <c r="N17" s="50">
        <f t="shared" ref="N17:N22" si="32">H17*12+I17*4+L17*2+M17</f>
        <v>34.15</v>
      </c>
      <c r="O17" s="51">
        <f t="shared" si="19"/>
        <v>1712.7775000000001</v>
      </c>
      <c r="P17" s="32"/>
      <c r="Q17" s="53" t="str">
        <f t="shared" si="6"/>
        <v>APS Marau</v>
      </c>
      <c r="R17" s="6">
        <f t="shared" si="20"/>
        <v>67.680000000000007</v>
      </c>
      <c r="S17" s="6">
        <f t="shared" si="21"/>
        <v>81.215999999999994</v>
      </c>
      <c r="T17" s="6">
        <f t="shared" si="22"/>
        <v>74.448000000000008</v>
      </c>
      <c r="U17" s="6">
        <f t="shared" si="23"/>
        <v>426.85750000000007</v>
      </c>
      <c r="V17" s="6">
        <f>VLOOKUP(Q17,'Desl. Base Passo Fundo'!$C$5:$S$23,13,FALSE())*($C$29+$D$29+$E$29*(VLOOKUP(Q17,'Desl. Base Passo Fundo'!$C$5:$S$23,17,FALSE())/12))</f>
        <v>55.995604166666681</v>
      </c>
      <c r="W17" s="6">
        <f>VLOOKUP(Q17,'Desl. Base Passo Fundo'!$C$5:$S$23,15,FALSE())*(2+(VLOOKUP(Q17,'Desl. Base Passo Fundo'!$C$5:$S$23,17,FALSE())/12))</f>
        <v>0</v>
      </c>
      <c r="X17" s="6">
        <f>VLOOKUP(Q17,'Desl. Base Passo Fundo'!$C$5:$Q$23,14,FALSE())</f>
        <v>0</v>
      </c>
      <c r="Y17" s="6">
        <f>VLOOKUP(Q17,'Desl. Base Passo Fundo'!$C$5:$Q$23,13,FALSE())*'Desl. Base Passo Fundo'!$E$28+'Desl. Base Passo Fundo'!$E$29*N17/12</f>
        <v>79.174791666666664</v>
      </c>
      <c r="Z17" s="6">
        <f>(H17/$AC$5)*'Equipe Técnica'!$C$13</f>
        <v>299.91181580035851</v>
      </c>
      <c r="AA17" s="6">
        <f>(I17/$AC$5)*'Equipe Técnica'!$C$13</f>
        <v>359.89417896043017</v>
      </c>
      <c r="AB17" s="6">
        <f>(L17/$AC$5)*'Equipe Técnica'!$C$13</f>
        <v>329.90299738039437</v>
      </c>
      <c r="AC17" s="6">
        <f>(M17/$AC$5)*'Equipe Técnica'!$C$13</f>
        <v>1129.6678395146839</v>
      </c>
      <c r="AD17" s="6">
        <f t="shared" ref="AD17:AD22" si="33">R17+(($V17+$W17+$X17+$Y17)*12/19)+$Z17</f>
        <v>452.96259211614802</v>
      </c>
      <c r="AE17" s="6">
        <f t="shared" ref="AE17:AE22" si="34">S17+(($V17+$W17+$X17+$Y17)*12/19)+$AA17</f>
        <v>526.48095527621967</v>
      </c>
      <c r="AF17" s="6">
        <f t="shared" ref="AF17:AF22" si="35">T17+(($V17+$W17+$X17+$Y17)*12/19)+$AB17</f>
        <v>489.72177369618385</v>
      </c>
      <c r="AG17" s="6">
        <f t="shared" ref="AG17:AG22" si="36">U17+(($V17+$W17+$X17+$Y17)*12/19)+$AC17</f>
        <v>1641.8961158304735</v>
      </c>
      <c r="AI17" s="53" t="str">
        <f t="shared" si="11"/>
        <v>APS Marau</v>
      </c>
      <c r="AJ17" s="63">
        <f>VLOOKUP(AI17,Unidades!D$5:H$23,5,)</f>
        <v>0.2979</v>
      </c>
      <c r="AK17" s="61">
        <f t="shared" si="24"/>
        <v>587.90014830754853</v>
      </c>
      <c r="AL17" s="61">
        <f t="shared" si="25"/>
        <v>683.31963185300549</v>
      </c>
      <c r="AM17" s="61">
        <f t="shared" si="26"/>
        <v>635.60989008027707</v>
      </c>
      <c r="AN17" s="61">
        <f t="shared" si="27"/>
        <v>2131.0169687363718</v>
      </c>
      <c r="AO17" s="61">
        <f t="shared" si="28"/>
        <v>1099.1930879999609</v>
      </c>
      <c r="AP17" s="61">
        <f t="shared" si="29"/>
        <v>3297.5792639998826</v>
      </c>
      <c r="AQ17" s="61">
        <f t="shared" si="30"/>
        <v>4396.7723519998435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216</v>
      </c>
      <c r="C18" s="49">
        <f>VLOOKUP($B18,Unidades!$D$5:$N$23,6,FALSE())</f>
        <v>334.4</v>
      </c>
      <c r="D18" s="49">
        <f>VLOOKUP($B18,Unidades!$D$5:$N$23,7,FALSE())</f>
        <v>296</v>
      </c>
      <c r="E18" s="49">
        <f>VLOOKUP($B18,Unidades!$D$5:$N$23,8,FALSE())</f>
        <v>38.4</v>
      </c>
      <c r="F18" s="49">
        <f>VLOOKUP($B18,Unidades!$D$5:$N$23,9,FALSE())</f>
        <v>0</v>
      </c>
      <c r="G18" s="49">
        <f t="shared" si="0"/>
        <v>309.44</v>
      </c>
      <c r="H18" s="50">
        <f t="shared" si="1"/>
        <v>1.5</v>
      </c>
      <c r="I18" s="50">
        <f t="shared" si="2"/>
        <v>1.7999999999999998</v>
      </c>
      <c r="J18" s="50" t="str">
        <f>VLOOKUP($B18,Unidades!$D$5:$N$23,10,FALSE())</f>
        <v>NÃO</v>
      </c>
      <c r="K18" s="50" t="str">
        <f>VLOOKUP($B18,Unidades!$D$5:$N$23,11,FALSE())</f>
        <v>NÃO</v>
      </c>
      <c r="L18" s="50">
        <f t="shared" si="3"/>
        <v>1.6500000000000001</v>
      </c>
      <c r="M18" s="50">
        <f t="shared" si="31"/>
        <v>1.6500000000000001</v>
      </c>
      <c r="N18" s="50">
        <f t="shared" si="32"/>
        <v>30.15</v>
      </c>
      <c r="O18" s="51">
        <f t="shared" si="19"/>
        <v>1360.3680000000002</v>
      </c>
      <c r="P18" s="32"/>
      <c r="Q18" s="53" t="str">
        <f t="shared" si="6"/>
        <v>APS Sarandi</v>
      </c>
      <c r="R18" s="6">
        <f t="shared" si="20"/>
        <v>67.680000000000007</v>
      </c>
      <c r="S18" s="6">
        <f t="shared" si="21"/>
        <v>81.215999999999994</v>
      </c>
      <c r="T18" s="6">
        <f t="shared" si="22"/>
        <v>74.448000000000008</v>
      </c>
      <c r="U18" s="6">
        <f t="shared" si="23"/>
        <v>74.448000000000008</v>
      </c>
      <c r="V18" s="6">
        <f>VLOOKUP(Q18,'Desl. Base Passo Fundo'!$C$5:$S$23,13,FALSE())*($C$29+$D$29+$E$29*(VLOOKUP(Q18,'Desl. Base Passo Fundo'!$C$5:$S$23,17,FALSE())/12))</f>
        <v>112.80000000000001</v>
      </c>
      <c r="W18" s="6">
        <f>VLOOKUP(Q18,'Desl. Base Passo Fundo'!$C$5:$S$23,15,FALSE())*(2+(VLOOKUP(Q18,'Desl. Base Passo Fundo'!$C$5:$S$23,17,FALSE())/12))</f>
        <v>0</v>
      </c>
      <c r="X18" s="6">
        <f>VLOOKUP(Q18,'Desl. Base Passo Fundo'!$C$5:$Q$23,14,FALSE())</f>
        <v>0</v>
      </c>
      <c r="Y18" s="6">
        <f>VLOOKUP(Q18,'Desl. Base Passo Fundo'!$C$5:$Q$23,13,FALSE())*'Desl. Base Passo Fundo'!$E$28+'Desl. Base Passo Fundo'!$E$29*N18/12</f>
        <v>143.83687499999999</v>
      </c>
      <c r="Z18" s="6">
        <f>(H18/$AC$5)*'Equipe Técnica'!$C$13</f>
        <v>299.91181580035851</v>
      </c>
      <c r="AA18" s="6">
        <f>(I18/$AC$5)*'Equipe Técnica'!$C$13</f>
        <v>359.89417896043017</v>
      </c>
      <c r="AB18" s="6">
        <f>(L18/$AC$5)*'Equipe Técnica'!$C$13</f>
        <v>329.90299738039437</v>
      </c>
      <c r="AC18" s="6">
        <f>(M18/$AC$5)*'Equipe Técnica'!$C$13</f>
        <v>329.90299738039437</v>
      </c>
      <c r="AD18" s="6">
        <f t="shared" si="33"/>
        <v>529.67826316877961</v>
      </c>
      <c r="AE18" s="6">
        <f t="shared" si="34"/>
        <v>603.19662632885115</v>
      </c>
      <c r="AF18" s="6">
        <f t="shared" si="35"/>
        <v>566.43744474881544</v>
      </c>
      <c r="AG18" s="6">
        <f t="shared" si="36"/>
        <v>566.43744474881544</v>
      </c>
      <c r="AI18" s="53" t="str">
        <f t="shared" si="11"/>
        <v>APS Sarandi</v>
      </c>
      <c r="AJ18" s="63">
        <f>VLOOKUP(AI18,Unidades!D$5:H$23,5,)</f>
        <v>0.32779999999999998</v>
      </c>
      <c r="AK18" s="61">
        <f t="shared" si="24"/>
        <v>703.30679783550545</v>
      </c>
      <c r="AL18" s="61">
        <f t="shared" si="25"/>
        <v>800.92448043944853</v>
      </c>
      <c r="AM18" s="61">
        <f t="shared" si="26"/>
        <v>752.11563913747705</v>
      </c>
      <c r="AN18" s="61">
        <f t="shared" si="27"/>
        <v>752.11563913747705</v>
      </c>
      <c r="AO18" s="61">
        <f t="shared" si="28"/>
        <v>1158.310534433024</v>
      </c>
      <c r="AP18" s="61">
        <f t="shared" si="29"/>
        <v>3474.9316032990719</v>
      </c>
      <c r="AQ18" s="61">
        <f t="shared" si="30"/>
        <v>4633.2421377320961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218</v>
      </c>
      <c r="C19" s="49">
        <f>VLOOKUP($B19,Unidades!$D$5:$N$23,6,FALSE())</f>
        <v>548.83000000000004</v>
      </c>
      <c r="D19" s="49">
        <f>VLOOKUP($B19,Unidades!$D$5:$N$23,7,FALSE())</f>
        <v>421.87</v>
      </c>
      <c r="E19" s="49">
        <f>VLOOKUP($B19,Unidades!$D$5:$N$23,8,FALSE())</f>
        <v>126.96</v>
      </c>
      <c r="F19" s="49">
        <f>VLOOKUP($B19,Unidades!$D$5:$N$23,9,FALSE())</f>
        <v>0</v>
      </c>
      <c r="G19" s="49">
        <f t="shared" si="0"/>
        <v>466.30599999999998</v>
      </c>
      <c r="H19" s="50">
        <f t="shared" si="1"/>
        <v>1.5</v>
      </c>
      <c r="I19" s="50">
        <f t="shared" si="2"/>
        <v>1.7999999999999998</v>
      </c>
      <c r="J19" s="50" t="str">
        <f>VLOOKUP($B19,Unidades!$D$5:$N$23,10,FALSE())</f>
        <v>NÃO</v>
      </c>
      <c r="K19" s="50" t="str">
        <f>VLOOKUP($B19,Unidades!$D$5:$N$23,11,FALSE())</f>
        <v>SIM</v>
      </c>
      <c r="L19" s="50">
        <f t="shared" si="3"/>
        <v>1.6500000000000001</v>
      </c>
      <c r="M19" s="50">
        <f t="shared" si="31"/>
        <v>5.65</v>
      </c>
      <c r="N19" s="50">
        <f t="shared" si="32"/>
        <v>34.15</v>
      </c>
      <c r="O19" s="51">
        <f t="shared" si="19"/>
        <v>1712.7775000000001</v>
      </c>
      <c r="P19" s="32"/>
      <c r="Q19" s="53" t="str">
        <f t="shared" si="6"/>
        <v>APS Serafina Corrêa</v>
      </c>
      <c r="R19" s="6">
        <f t="shared" si="20"/>
        <v>67.680000000000007</v>
      </c>
      <c r="S19" s="6">
        <f t="shared" si="21"/>
        <v>81.215999999999994</v>
      </c>
      <c r="T19" s="6">
        <f t="shared" si="22"/>
        <v>74.448000000000008</v>
      </c>
      <c r="U19" s="6">
        <f t="shared" si="23"/>
        <v>426.85750000000007</v>
      </c>
      <c r="V19" s="6">
        <f>VLOOKUP(Q19,'Desl. Base Passo Fundo'!$C$5:$S$23,13,FALSE())*($C$29+$D$29+$E$29*(VLOOKUP(Q19,'Desl. Base Passo Fundo'!$C$5:$S$23,17,FALSE())/12))</f>
        <v>82.603444444444463</v>
      </c>
      <c r="W19" s="6">
        <f>VLOOKUP(Q19,'Desl. Base Passo Fundo'!$C$5:$S$23,15,FALSE())*(2+(VLOOKUP(Q19,'Desl. Base Passo Fundo'!$C$5:$S$23,17,FALSE())/12))</f>
        <v>0</v>
      </c>
      <c r="X19" s="6">
        <f>VLOOKUP(Q19,'Desl. Base Passo Fundo'!$C$5:$Q$23,14,FALSE())</f>
        <v>0</v>
      </c>
      <c r="Y19" s="6">
        <f>VLOOKUP(Q19,'Desl. Base Passo Fundo'!$C$5:$Q$23,13,FALSE())*'Desl. Base Passo Fundo'!$E$28+'Desl. Base Passo Fundo'!$E$29*N19/12</f>
        <v>107.39854166666667</v>
      </c>
      <c r="Z19" s="6">
        <f>(H19/$AC$5)*'Equipe Técnica'!$C$13</f>
        <v>299.91181580035851</v>
      </c>
      <c r="AA19" s="6">
        <f>(I19/$AC$5)*'Equipe Técnica'!$C$13</f>
        <v>359.89417896043017</v>
      </c>
      <c r="AB19" s="6">
        <f>(L19/$AC$5)*'Equipe Técnica'!$C$13</f>
        <v>329.90299738039437</v>
      </c>
      <c r="AC19" s="6">
        <f>(M19/$AC$5)*'Equipe Técnica'!$C$13</f>
        <v>1129.6678395146839</v>
      </c>
      <c r="AD19" s="6">
        <f t="shared" si="33"/>
        <v>487.59307018632342</v>
      </c>
      <c r="AE19" s="6">
        <f t="shared" si="34"/>
        <v>561.11143334639507</v>
      </c>
      <c r="AF19" s="6">
        <f t="shared" si="35"/>
        <v>524.35225176635936</v>
      </c>
      <c r="AG19" s="6">
        <f t="shared" si="36"/>
        <v>1676.526593900649</v>
      </c>
      <c r="AI19" s="53" t="str">
        <f t="shared" si="11"/>
        <v>APS Serafina Corrêa</v>
      </c>
      <c r="AJ19" s="63">
        <f>VLOOKUP(AI19,Unidades!D$5:H$23,5,)</f>
        <v>0.29070000000000001</v>
      </c>
      <c r="AK19" s="61">
        <f t="shared" si="24"/>
        <v>629.33637568948757</v>
      </c>
      <c r="AL19" s="61">
        <f t="shared" si="25"/>
        <v>724.22652702019207</v>
      </c>
      <c r="AM19" s="61">
        <f t="shared" si="26"/>
        <v>676.78145135483999</v>
      </c>
      <c r="AN19" s="61">
        <f t="shared" si="27"/>
        <v>2163.8928747475675</v>
      </c>
      <c r="AO19" s="61">
        <f t="shared" si="28"/>
        <v>1163.8665328176555</v>
      </c>
      <c r="AP19" s="61">
        <f t="shared" si="29"/>
        <v>3491.5995984529663</v>
      </c>
      <c r="AQ19" s="61">
        <f t="shared" si="30"/>
        <v>4655.4661312706221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220</v>
      </c>
      <c r="C20" s="49">
        <f>VLOOKUP($B20,Unidades!$D$5:$N$23,6,FALSE())</f>
        <v>2280.63</v>
      </c>
      <c r="D20" s="49">
        <f>VLOOKUP($B20,Unidades!$D$5:$N$23,7,FALSE())</f>
        <v>742.67</v>
      </c>
      <c r="E20" s="49">
        <f>VLOOKUP($B20,Unidades!$D$5:$N$23,8,FALSE())</f>
        <v>1114.42</v>
      </c>
      <c r="F20" s="49">
        <f>VLOOKUP($B20,Unidades!$D$5:$N$23,9,FALSE())</f>
        <v>423.54</v>
      </c>
      <c r="G20" s="49">
        <f t="shared" si="0"/>
        <v>1175.0710000000001</v>
      </c>
      <c r="H20" s="50">
        <f t="shared" si="1"/>
        <v>2</v>
      </c>
      <c r="I20" s="50">
        <f t="shared" si="2"/>
        <v>2.4</v>
      </c>
      <c r="J20" s="50" t="str">
        <f>VLOOKUP($B20,Unidades!$D$5:$N$23,10,FALSE())</f>
        <v>SIM</v>
      </c>
      <c r="K20" s="50" t="str">
        <f>VLOOKUP($B20,Unidades!$D$5:$N$23,11,FALSE())</f>
        <v>SIM</v>
      </c>
      <c r="L20" s="50">
        <f t="shared" si="3"/>
        <v>4.2</v>
      </c>
      <c r="M20" s="50">
        <f t="shared" si="31"/>
        <v>8.1999999999999993</v>
      </c>
      <c r="N20" s="50">
        <f t="shared" si="32"/>
        <v>50.2</v>
      </c>
      <c r="O20" s="51">
        <f t="shared" si="19"/>
        <v>2514.5500000000002</v>
      </c>
      <c r="P20" s="32"/>
      <c r="Q20" s="53" t="str">
        <f t="shared" si="6"/>
        <v>APS Soledade</v>
      </c>
      <c r="R20" s="6">
        <f t="shared" si="20"/>
        <v>90.240000000000009</v>
      </c>
      <c r="S20" s="6">
        <f t="shared" si="21"/>
        <v>108.28800000000001</v>
      </c>
      <c r="T20" s="6">
        <f t="shared" si="22"/>
        <v>189.50400000000002</v>
      </c>
      <c r="U20" s="6">
        <f t="shared" si="23"/>
        <v>619.51</v>
      </c>
      <c r="V20" s="6">
        <f>VLOOKUP(Q20,'Desl. Base Passo Fundo'!$C$5:$S$23,13,FALSE())*($C$29+$D$29+$E$29*(VLOOKUP(Q20,'Desl. Base Passo Fundo'!$C$5:$S$23,17,FALSE())/12))</f>
        <v>68.703826388888899</v>
      </c>
      <c r="W20" s="6">
        <f>VLOOKUP(Q20,'Desl. Base Passo Fundo'!$C$5:$S$23,15,FALSE())*(2+(VLOOKUP(Q20,'Desl. Base Passo Fundo'!$C$5:$S$23,17,FALSE())/12))</f>
        <v>0</v>
      </c>
      <c r="X20" s="6">
        <f>VLOOKUP(Q20,'Desl. Base Passo Fundo'!$C$5:$Q$23,14,FALSE())</f>
        <v>0</v>
      </c>
      <c r="Y20" s="6">
        <f>VLOOKUP(Q20,'Desl. Base Passo Fundo'!$C$5:$Q$23,13,FALSE())*'Desl. Base Passo Fundo'!$E$28+'Desl. Base Passo Fundo'!$E$29*N20/12</f>
        <v>101.95041666666667</v>
      </c>
      <c r="Z20" s="6">
        <f>(H20/$AC$5)*'Equipe Técnica'!$C$13</f>
        <v>399.88242106714466</v>
      </c>
      <c r="AA20" s="6">
        <f>(I20/$AC$5)*'Equipe Técnica'!$C$13</f>
        <v>479.85890528057359</v>
      </c>
      <c r="AB20" s="6">
        <f>(L20/$AC$5)*'Equipe Técnica'!$C$13</f>
        <v>839.75308424100388</v>
      </c>
      <c r="AC20" s="6">
        <f>(M20/$AC$5)*'Equipe Técnica'!$C$13</f>
        <v>1639.5179263752932</v>
      </c>
      <c r="AD20" s="6">
        <f t="shared" si="33"/>
        <v>597.90404826012718</v>
      </c>
      <c r="AE20" s="6">
        <f t="shared" si="34"/>
        <v>695.92853247355606</v>
      </c>
      <c r="AF20" s="6">
        <f t="shared" si="35"/>
        <v>1137.0387114339865</v>
      </c>
      <c r="AG20" s="6">
        <f t="shared" si="36"/>
        <v>2366.8095535682755</v>
      </c>
      <c r="AI20" s="53" t="str">
        <f t="shared" si="11"/>
        <v>APS Soledade</v>
      </c>
      <c r="AJ20" s="63">
        <f>VLOOKUP(AI20,Unidades!D$5:H$23,5,)</f>
        <v>0.28349999999999997</v>
      </c>
      <c r="AK20" s="61">
        <f t="shared" si="24"/>
        <v>767.4098459418733</v>
      </c>
      <c r="AL20" s="61">
        <f t="shared" si="25"/>
        <v>893.22427142980928</v>
      </c>
      <c r="AM20" s="61">
        <f t="shared" si="26"/>
        <v>1459.3891861255217</v>
      </c>
      <c r="AN20" s="61">
        <f t="shared" si="27"/>
        <v>3037.800062004882</v>
      </c>
      <c r="AO20" s="61">
        <f t="shared" si="28"/>
        <v>1561.5328059398034</v>
      </c>
      <c r="AP20" s="61">
        <f t="shared" si="29"/>
        <v>4684.5984178194103</v>
      </c>
      <c r="AQ20" s="61">
        <f t="shared" si="30"/>
        <v>6246.1312237592138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222</v>
      </c>
      <c r="C21" s="49">
        <f>VLOOKUP($B21,Unidades!$D$5:$N$23,6,FALSE())</f>
        <v>3609.84</v>
      </c>
      <c r="D21" s="49">
        <f>VLOOKUP($B21,Unidades!$D$5:$N$23,7,FALSE())</f>
        <v>2780.7</v>
      </c>
      <c r="E21" s="49">
        <f>VLOOKUP($B21,Unidades!$D$5:$N$23,8,FALSE())</f>
        <v>629.53</v>
      </c>
      <c r="F21" s="49">
        <f>VLOOKUP($B21,Unidades!$D$5:$N$23,9,FALSE())</f>
        <v>199.61</v>
      </c>
      <c r="G21" s="49">
        <f t="shared" si="0"/>
        <v>3020.9964999999997</v>
      </c>
      <c r="H21" s="50">
        <f t="shared" si="1"/>
        <v>3</v>
      </c>
      <c r="I21" s="50">
        <f t="shared" si="2"/>
        <v>3.5999999999999996</v>
      </c>
      <c r="J21" s="50" t="str">
        <f>VLOOKUP($B21,Unidades!$D$5:$N$23,10,FALSE())</f>
        <v>NÃO</v>
      </c>
      <c r="K21" s="50" t="str">
        <f>VLOOKUP($B21,Unidades!$D$5:$N$23,11,FALSE())</f>
        <v>SIM</v>
      </c>
      <c r="L21" s="50">
        <f t="shared" si="3"/>
        <v>3.3000000000000003</v>
      </c>
      <c r="M21" s="50">
        <f t="shared" si="31"/>
        <v>7.3000000000000007</v>
      </c>
      <c r="N21" s="50">
        <f t="shared" si="32"/>
        <v>64.3</v>
      </c>
      <c r="O21" s="51">
        <f t="shared" si="19"/>
        <v>3123.3550000000005</v>
      </c>
      <c r="P21" s="32"/>
      <c r="Q21" s="53" t="str">
        <f t="shared" si="6"/>
        <v>GEX/APS Passo Fundo</v>
      </c>
      <c r="R21" s="6">
        <f t="shared" si="20"/>
        <v>135.36000000000001</v>
      </c>
      <c r="S21" s="6">
        <f t="shared" si="21"/>
        <v>162.43199999999999</v>
      </c>
      <c r="T21" s="6">
        <f t="shared" si="22"/>
        <v>148.89600000000002</v>
      </c>
      <c r="U21" s="6">
        <f t="shared" si="23"/>
        <v>551.5150000000001</v>
      </c>
      <c r="V21" s="6">
        <f>VLOOKUP(Q21,'Desl. Base Passo Fundo'!$C$5:$S$23,13,FALSE())*($C$29+$D$29+$E$29*(VLOOKUP(Q21,'Desl. Base Passo Fundo'!$C$5:$S$23,17,FALSE())/12))</f>
        <v>38.521798611111116</v>
      </c>
      <c r="W21" s="6">
        <f>VLOOKUP(Q21,'Desl. Base Passo Fundo'!$C$5:$S$23,15,FALSE())*(2+(VLOOKUP(Q21,'Desl. Base Passo Fundo'!$C$5:$S$23,17,FALSE())/12))</f>
        <v>0</v>
      </c>
      <c r="X21" s="6">
        <f>VLOOKUP(Q21,'Desl. Base Passo Fundo'!$C$5:$Q$23,14,FALSE())</f>
        <v>0</v>
      </c>
      <c r="Y21" s="6">
        <f>VLOOKUP(Q21,'Desl. Base Passo Fundo'!$C$5:$Q$23,13,FALSE())*'Desl. Base Passo Fundo'!$E$28+'Desl. Base Passo Fundo'!$E$29*N21/12</f>
        <v>78.101666666666659</v>
      </c>
      <c r="Z21" s="6">
        <f>(H21/$AC$5)*'Equipe Técnica'!$C$13</f>
        <v>599.82363160071702</v>
      </c>
      <c r="AA21" s="6">
        <f>(I21/$AC$5)*'Equipe Técnica'!$C$13</f>
        <v>719.78835792086034</v>
      </c>
      <c r="AB21" s="6">
        <f>(L21/$AC$5)*'Equipe Técnica'!$C$13</f>
        <v>659.80599476078874</v>
      </c>
      <c r="AC21" s="6">
        <f>(M21/$AC$5)*'Equipe Técnica'!$C$13</f>
        <v>1459.5708368950782</v>
      </c>
      <c r="AD21" s="6">
        <f t="shared" si="33"/>
        <v>808.84055703931358</v>
      </c>
      <c r="AE21" s="6">
        <f t="shared" si="34"/>
        <v>955.87728335945678</v>
      </c>
      <c r="AF21" s="6">
        <f t="shared" si="35"/>
        <v>882.35892019938524</v>
      </c>
      <c r="AG21" s="6">
        <f t="shared" si="36"/>
        <v>2084.7427623336748</v>
      </c>
      <c r="AI21" s="53" t="str">
        <f t="shared" si="11"/>
        <v>GEX/APS Passo Fundo</v>
      </c>
      <c r="AJ21" s="63">
        <f>VLOOKUP(AI21,Unidades!D$5:H$23,5,)</f>
        <v>0.28349999999999997</v>
      </c>
      <c r="AK21" s="61">
        <f t="shared" si="24"/>
        <v>1038.146854959959</v>
      </c>
      <c r="AL21" s="61">
        <f t="shared" si="25"/>
        <v>1226.8684931918629</v>
      </c>
      <c r="AM21" s="61">
        <f t="shared" si="26"/>
        <v>1132.5076740759109</v>
      </c>
      <c r="AN21" s="61">
        <f t="shared" si="27"/>
        <v>2675.7673354552717</v>
      </c>
      <c r="AO21" s="61">
        <f t="shared" si="28"/>
        <v>1858.8349096578377</v>
      </c>
      <c r="AP21" s="61">
        <f t="shared" si="29"/>
        <v>5576.504728973513</v>
      </c>
      <c r="AQ21" s="61">
        <f t="shared" si="30"/>
        <v>7435.3396386313507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224</v>
      </c>
      <c r="C22" s="49">
        <f>VLOOKUP($B22,Unidades!$D$5:$N$23,6,FALSE())</f>
        <v>461.59</v>
      </c>
      <c r="D22" s="49">
        <f>VLOOKUP($B22,Unidades!$D$5:$N$23,7,FALSE())</f>
        <v>294.43</v>
      </c>
      <c r="E22" s="49">
        <f>VLOOKUP($B22,Unidades!$D$5:$N$23,8,FALSE())</f>
        <v>167.16</v>
      </c>
      <c r="F22" s="49">
        <f>VLOOKUP($B22,Unidades!$D$5:$N$23,9,FALSE())</f>
        <v>0</v>
      </c>
      <c r="G22" s="49">
        <f t="shared" si="0"/>
        <v>352.93599999999998</v>
      </c>
      <c r="H22" s="50">
        <f t="shared" si="1"/>
        <v>1.5</v>
      </c>
      <c r="I22" s="50">
        <f t="shared" si="2"/>
        <v>1.7999999999999998</v>
      </c>
      <c r="J22" s="50" t="str">
        <f>VLOOKUP($B22,Unidades!$D$5:$N$23,10,FALSE())</f>
        <v>NÃO</v>
      </c>
      <c r="K22" s="50" t="str">
        <f>VLOOKUP($B22,Unidades!$D$5:$N$23,11,FALSE())</f>
        <v>SIM</v>
      </c>
      <c r="L22" s="50">
        <f t="shared" si="3"/>
        <v>1.6500000000000001</v>
      </c>
      <c r="M22" s="50">
        <f t="shared" si="31"/>
        <v>5.65</v>
      </c>
      <c r="N22" s="50">
        <f t="shared" si="32"/>
        <v>34.15</v>
      </c>
      <c r="O22" s="51">
        <f t="shared" si="19"/>
        <v>1712.7775000000001</v>
      </c>
      <c r="P22" s="32"/>
      <c r="Q22" s="53" t="str">
        <f t="shared" si="6"/>
        <v>APS Candelária</v>
      </c>
      <c r="R22" s="6">
        <f t="shared" si="20"/>
        <v>67.680000000000007</v>
      </c>
      <c r="S22" s="6">
        <f t="shared" si="21"/>
        <v>81.215999999999994</v>
      </c>
      <c r="T22" s="6">
        <f t="shared" si="22"/>
        <v>74.448000000000008</v>
      </c>
      <c r="U22" s="6">
        <f t="shared" si="23"/>
        <v>426.85750000000007</v>
      </c>
      <c r="V22" s="6">
        <f>VLOOKUP(Q22,'Desl. Base Passo Fundo'!$C$5:$S$23,13,FALSE())*($C$29+$D$29+$E$29*(VLOOKUP(Q22,'Desl. Base Passo Fundo'!$C$5:$S$23,17,FALSE())/12))</f>
        <v>156.86711805555558</v>
      </c>
      <c r="W22" s="6">
        <f>VLOOKUP(Q22,'Desl. Base Passo Fundo'!$C$5:$S$23,15,FALSE())*(2+(VLOOKUP(Q22,'Desl. Base Passo Fundo'!$C$5:$S$23,17,FALSE())/12))</f>
        <v>138.27083333333334</v>
      </c>
      <c r="X22" s="6">
        <f>VLOOKUP(Q22,'Desl. Base Passo Fundo'!$C$5:$Q$23,14,FALSE())</f>
        <v>0</v>
      </c>
      <c r="Y22" s="6">
        <f>VLOOKUP(Q22,'Desl. Base Passo Fundo'!$C$5:$Q$23,13,FALSE())*'Desl. Base Passo Fundo'!$E$28+'Desl. Base Passo Fundo'!$E$29*N22/12</f>
        <v>186.17229166666664</v>
      </c>
      <c r="Z22" s="6">
        <f>(H22/$AC$5)*'Equipe Técnica'!$C$13</f>
        <v>299.91181580035851</v>
      </c>
      <c r="AA22" s="6">
        <f>(I22/$AC$5)*'Equipe Técnica'!$C$13</f>
        <v>359.89417896043017</v>
      </c>
      <c r="AB22" s="6">
        <f>(L22/$AC$5)*'Equipe Técnica'!$C$13</f>
        <v>329.90299738039437</v>
      </c>
      <c r="AC22" s="6">
        <f>(M22/$AC$5)*'Equipe Técnica'!$C$13</f>
        <v>1129.6678395146839</v>
      </c>
      <c r="AD22" s="6">
        <f t="shared" si="33"/>
        <v>671.57723246702517</v>
      </c>
      <c r="AE22" s="6">
        <f t="shared" si="34"/>
        <v>745.09559562709683</v>
      </c>
      <c r="AF22" s="6">
        <f t="shared" si="35"/>
        <v>708.33641404706111</v>
      </c>
      <c r="AG22" s="6">
        <f t="shared" si="36"/>
        <v>1860.5107561813506</v>
      </c>
      <c r="AI22" s="53" t="str">
        <f t="shared" si="11"/>
        <v>APS Candelária</v>
      </c>
      <c r="AJ22" s="63">
        <f>VLOOKUP(AI22,Unidades!D$5:H$23,5,)</f>
        <v>0.28349999999999997</v>
      </c>
      <c r="AK22" s="61">
        <f t="shared" si="24"/>
        <v>861.9693778714269</v>
      </c>
      <c r="AL22" s="61">
        <f t="shared" si="25"/>
        <v>956.33019698737883</v>
      </c>
      <c r="AM22" s="61">
        <f t="shared" si="26"/>
        <v>909.14978742940298</v>
      </c>
      <c r="AN22" s="61">
        <f t="shared" si="27"/>
        <v>2387.9655555587638</v>
      </c>
      <c r="AO22" s="61">
        <f t="shared" si="28"/>
        <v>1531.2682044020173</v>
      </c>
      <c r="AP22" s="61">
        <f t="shared" si="29"/>
        <v>4593.8046132060517</v>
      </c>
      <c r="AQ22" s="61">
        <f t="shared" si="30"/>
        <v>6125.0728176080693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226</v>
      </c>
      <c r="C23" s="49">
        <f>VLOOKUP($B23,Unidades!$D$5:$N$23,6,FALSE())</f>
        <v>2111.12</v>
      </c>
      <c r="D23" s="49">
        <f>VLOOKUP($B23,Unidades!$D$5:$N$23,7,FALSE())</f>
        <v>689.74</v>
      </c>
      <c r="E23" s="49">
        <f>VLOOKUP($B23,Unidades!$D$5:$N$23,8,FALSE())</f>
        <v>1262.17</v>
      </c>
      <c r="F23" s="49">
        <f>VLOOKUP($B23,Unidades!$D$5:$N$23,9,FALSE())</f>
        <v>159.21</v>
      </c>
      <c r="G23" s="49">
        <f t="shared" ref="G23:G25" si="37">D23+E23*$E$6+F23*$F$6</f>
        <v>1147.4204999999999</v>
      </c>
      <c r="H23" s="50">
        <f t="shared" ref="H23:H25" si="38">IF(G23&lt;750,1.5,IF(G23&lt;2000,2,3))</f>
        <v>2</v>
      </c>
      <c r="I23" s="50">
        <f t="shared" ref="I23:I25" si="39">$I$6*H23</f>
        <v>2.4</v>
      </c>
      <c r="J23" s="50" t="str">
        <f>VLOOKUP($B23,Unidades!$D$5:$N$23,10,FALSE())</f>
        <v>NÃO</v>
      </c>
      <c r="K23" s="50" t="str">
        <f>VLOOKUP($B23,Unidades!$D$5:$N$23,11,FALSE())</f>
        <v>SIM</v>
      </c>
      <c r="L23" s="50">
        <f t="shared" ref="L23:L25" si="40">$L$6*H23+(IF(J23="SIM",$J$6,0))</f>
        <v>2.2000000000000002</v>
      </c>
      <c r="M23" s="50">
        <f t="shared" ref="M23:M25" si="41">$M$6*H23+(IF(J23="SIM",$J$6,0))+(IF(K23="SIM",$K$6,0))</f>
        <v>6.2</v>
      </c>
      <c r="N23" s="50">
        <f t="shared" ref="N23:N25" si="42">H23*12+I23*4+L23*2+M23</f>
        <v>44.2</v>
      </c>
      <c r="O23" s="51">
        <f t="shared" si="19"/>
        <v>2182.9700000000003</v>
      </c>
      <c r="P23" s="32"/>
      <c r="Q23" s="53" t="str">
        <f t="shared" si="6"/>
        <v>APS Santa Cruz do Sul</v>
      </c>
      <c r="R23" s="6">
        <f t="shared" si="20"/>
        <v>90.240000000000009</v>
      </c>
      <c r="S23" s="6">
        <f t="shared" si="21"/>
        <v>108.28800000000001</v>
      </c>
      <c r="T23" s="6">
        <f t="shared" si="22"/>
        <v>99.264000000000024</v>
      </c>
      <c r="U23" s="6">
        <f t="shared" si="23"/>
        <v>468.41000000000008</v>
      </c>
      <c r="V23" s="6">
        <f>VLOOKUP(Q23,'Desl. Base Passo Fundo'!$C$5:$S$23,13,FALSE())*($C$29+$D$29+$E$29*(VLOOKUP(Q23,'Desl. Base Passo Fundo'!$C$5:$S$23,17,FALSE())/12))</f>
        <v>156.86711805555558</v>
      </c>
      <c r="W23" s="6">
        <f>VLOOKUP(Q23,'Desl. Base Passo Fundo'!$C$5:$S$23,15,FALSE())*(2+(VLOOKUP(Q23,'Desl. Base Passo Fundo'!$C$5:$S$23,17,FALSE())/12))</f>
        <v>138.27083333333334</v>
      </c>
      <c r="X23" s="6">
        <f>VLOOKUP(Q23,'Desl. Base Passo Fundo'!$C$5:$Q$23,14,FALSE())</f>
        <v>16.399999999999999</v>
      </c>
      <c r="Y23" s="6">
        <f>VLOOKUP(Q23,'Desl. Base Passo Fundo'!$C$5:$Q$23,13,FALSE())*'Desl. Base Passo Fundo'!$E$28+'Desl. Base Passo Fundo'!$E$29*N23/12</f>
        <v>191.99291666666664</v>
      </c>
      <c r="Z23" s="6">
        <f>(H23/$AC$5)*'Equipe Técnica'!$C$13</f>
        <v>399.88242106714466</v>
      </c>
      <c r="AA23" s="6">
        <f>(I23/$AC$5)*'Equipe Técnica'!$C$13</f>
        <v>479.85890528057359</v>
      </c>
      <c r="AB23" s="6">
        <f>(L23/$AC$5)*'Equipe Técnica'!$C$13</f>
        <v>439.87066317385916</v>
      </c>
      <c r="AC23" s="6">
        <f>(M23/$AC$5)*'Equipe Técnica'!$C$13</f>
        <v>1239.6355053081486</v>
      </c>
      <c r="AD23" s="6">
        <f t="shared" ref="AD23:AD25" si="43">R23+(($V23+$W23+$X23+$Y23)*12/19)+$Z23</f>
        <v>808.14191668117974</v>
      </c>
      <c r="AE23" s="6">
        <f t="shared" ref="AE23:AE25" si="44">S23+(($V23+$W23+$X23+$Y23)*12/19)+$AA23</f>
        <v>906.16640089460861</v>
      </c>
      <c r="AF23" s="6">
        <f t="shared" ref="AF23:AF25" si="45">T23+(($V23+$W23+$X23+$Y23)*12/19)+$AB23</f>
        <v>857.15415878789418</v>
      </c>
      <c r="AG23" s="6">
        <f t="shared" ref="AG23:AG25" si="46">U23+(($V23+$W23+$X23+$Y23)*12/19)+$AC23</f>
        <v>2026.0650009221838</v>
      </c>
      <c r="AI23" s="53" t="str">
        <f t="shared" ref="AI23:AI25" si="47">B23</f>
        <v>APS Santa Cruz do Sul</v>
      </c>
      <c r="AJ23" s="63">
        <f>VLOOKUP(AI23,Unidades!D$5:H$23,5,)</f>
        <v>0.28349999999999997</v>
      </c>
      <c r="AK23" s="61">
        <f t="shared" si="24"/>
        <v>1037.2501500602943</v>
      </c>
      <c r="AL23" s="61">
        <f t="shared" si="25"/>
        <v>1163.0645755482303</v>
      </c>
      <c r="AM23" s="61">
        <f t="shared" si="26"/>
        <v>1100.1573628042622</v>
      </c>
      <c r="AN23" s="61">
        <f t="shared" si="27"/>
        <v>2600.4544286836231</v>
      </c>
      <c r="AO23" s="61">
        <f t="shared" si="28"/>
        <v>1825.002438100717</v>
      </c>
      <c r="AP23" s="61">
        <f t="shared" si="29"/>
        <v>5475.0073143021509</v>
      </c>
      <c r="AQ23" s="61">
        <f t="shared" si="30"/>
        <v>7300.0097524028679</v>
      </c>
      <c r="AR23" s="65"/>
      <c r="AS23" s="65"/>
      <c r="AT23" s="65"/>
      <c r="AU23" s="65"/>
      <c r="AV23" s="65"/>
      <c r="AW23" s="65"/>
    </row>
    <row r="24" spans="2:49" s="5" customFormat="1" ht="15" customHeight="1">
      <c r="B24" s="48" t="s">
        <v>228</v>
      </c>
      <c r="C24" s="49">
        <f>VLOOKUP($B24,Unidades!$D$5:$N$23,6,FALSE())</f>
        <v>949.02</v>
      </c>
      <c r="D24" s="49">
        <f>VLOOKUP($B24,Unidades!$D$5:$N$23,7,FALSE())</f>
        <v>332.74</v>
      </c>
      <c r="E24" s="49">
        <f>VLOOKUP($B24,Unidades!$D$5:$N$23,8,FALSE())</f>
        <v>616.28</v>
      </c>
      <c r="F24" s="49">
        <f>VLOOKUP($B24,Unidades!$D$5:$N$23,9,FALSE())</f>
        <v>0</v>
      </c>
      <c r="G24" s="49">
        <f t="shared" si="37"/>
        <v>548.43799999999999</v>
      </c>
      <c r="H24" s="50">
        <f t="shared" si="38"/>
        <v>1.5</v>
      </c>
      <c r="I24" s="50">
        <f t="shared" si="39"/>
        <v>1.7999999999999998</v>
      </c>
      <c r="J24" s="50" t="str">
        <f>VLOOKUP($B24,Unidades!$D$5:$N$23,10,FALSE())</f>
        <v>NÃO</v>
      </c>
      <c r="K24" s="50" t="str">
        <f>VLOOKUP($B24,Unidades!$D$5:$N$23,11,FALSE())</f>
        <v>NÃO</v>
      </c>
      <c r="L24" s="50">
        <f t="shared" si="40"/>
        <v>1.6500000000000001</v>
      </c>
      <c r="M24" s="50">
        <f t="shared" si="41"/>
        <v>1.6500000000000001</v>
      </c>
      <c r="N24" s="50">
        <f t="shared" si="42"/>
        <v>30.15</v>
      </c>
      <c r="O24" s="51">
        <f t="shared" si="19"/>
        <v>1360.3680000000002</v>
      </c>
      <c r="P24" s="32"/>
      <c r="Q24" s="53" t="str">
        <f t="shared" si="6"/>
        <v>APS Sobradinho</v>
      </c>
      <c r="R24" s="6">
        <f t="shared" si="20"/>
        <v>67.680000000000007</v>
      </c>
      <c r="S24" s="6">
        <f t="shared" si="21"/>
        <v>81.215999999999994</v>
      </c>
      <c r="T24" s="6">
        <f t="shared" si="22"/>
        <v>74.448000000000008</v>
      </c>
      <c r="U24" s="6">
        <f t="shared" si="23"/>
        <v>74.448000000000008</v>
      </c>
      <c r="V24" s="6">
        <f>VLOOKUP(Q24,'Desl. Base Passo Fundo'!$C$5:$S$23,13,FALSE())*($C$29+$D$29+$E$29*(VLOOKUP(Q24,'Desl. Base Passo Fundo'!$C$5:$S$23,17,FALSE())/12))</f>
        <v>156.86711805555558</v>
      </c>
      <c r="W24" s="6">
        <f>VLOOKUP(Q24,'Desl. Base Passo Fundo'!$C$5:$S$23,15,FALSE())*(2+(VLOOKUP(Q24,'Desl. Base Passo Fundo'!$C$5:$S$23,17,FALSE())/12))</f>
        <v>138.27083333333334</v>
      </c>
      <c r="X24" s="6">
        <f>VLOOKUP(Q24,'Desl. Base Passo Fundo'!$C$5:$Q$23,14,FALSE())</f>
        <v>0</v>
      </c>
      <c r="Y24" s="6">
        <f>VLOOKUP(Q24,'Desl. Base Passo Fundo'!$C$5:$Q$23,13,FALSE())*'Desl. Base Passo Fundo'!$E$28+'Desl. Base Passo Fundo'!$E$29*N24/12</f>
        <v>183.85562499999997</v>
      </c>
      <c r="Z24" s="6">
        <f>(H24/$AC$5)*'Equipe Técnica'!$C$13</f>
        <v>299.91181580035851</v>
      </c>
      <c r="AA24" s="6">
        <f>(I24/$AC$5)*'Equipe Técnica'!$C$13</f>
        <v>359.89417896043017</v>
      </c>
      <c r="AB24" s="6">
        <f>(L24/$AC$5)*'Equipe Técnica'!$C$13</f>
        <v>329.90299738039437</v>
      </c>
      <c r="AC24" s="6">
        <f>(M24/$AC$5)*'Equipe Técnica'!$C$13</f>
        <v>329.90299738039437</v>
      </c>
      <c r="AD24" s="6">
        <f t="shared" si="43"/>
        <v>670.11407457228836</v>
      </c>
      <c r="AE24" s="6">
        <f t="shared" si="44"/>
        <v>743.63243773236002</v>
      </c>
      <c r="AF24" s="6">
        <f t="shared" si="45"/>
        <v>706.87325615232419</v>
      </c>
      <c r="AG24" s="6">
        <f t="shared" si="46"/>
        <v>706.87325615232419</v>
      </c>
      <c r="AI24" s="53" t="str">
        <f t="shared" si="47"/>
        <v>APS Sobradinho</v>
      </c>
      <c r="AJ24" s="63">
        <f>VLOOKUP(AI24,Unidades!D$5:H$23,5,)</f>
        <v>0.29070000000000001</v>
      </c>
      <c r="AK24" s="61">
        <f t="shared" si="24"/>
        <v>864.91623605045254</v>
      </c>
      <c r="AL24" s="61">
        <f t="shared" si="25"/>
        <v>959.80638738115704</v>
      </c>
      <c r="AM24" s="61">
        <f t="shared" si="26"/>
        <v>912.36131171580485</v>
      </c>
      <c r="AN24" s="61">
        <f t="shared" si="27"/>
        <v>912.36131171580485</v>
      </c>
      <c r="AO24" s="61">
        <f t="shared" si="28"/>
        <v>1412.9420264397895</v>
      </c>
      <c r="AP24" s="61">
        <f t="shared" si="29"/>
        <v>4238.8260793193685</v>
      </c>
      <c r="AQ24" s="61">
        <f t="shared" si="30"/>
        <v>5651.7681057591581</v>
      </c>
      <c r="AR24" s="65"/>
      <c r="AS24" s="65"/>
      <c r="AT24" s="65"/>
      <c r="AU24" s="65"/>
      <c r="AV24" s="65"/>
      <c r="AW24" s="65"/>
    </row>
    <row r="25" spans="2:49" s="5" customFormat="1" ht="15" customHeight="1">
      <c r="B25" s="48" t="s">
        <v>230</v>
      </c>
      <c r="C25" s="49">
        <f>VLOOKUP($B25,Unidades!$D$5:$N$23,6,FALSE())</f>
        <v>950.51</v>
      </c>
      <c r="D25" s="49">
        <f>VLOOKUP($B25,Unidades!$D$5:$N$23,7,FALSE())</f>
        <v>387.48</v>
      </c>
      <c r="E25" s="49">
        <f>VLOOKUP($B25,Unidades!$D$5:$N$23,8,FALSE())</f>
        <v>524.38</v>
      </c>
      <c r="F25" s="49">
        <f>VLOOKUP($B25,Unidades!$D$5:$N$23,9,FALSE())</f>
        <v>38.65</v>
      </c>
      <c r="G25" s="49">
        <f t="shared" si="37"/>
        <v>574.87800000000004</v>
      </c>
      <c r="H25" s="50">
        <f t="shared" si="38"/>
        <v>1.5</v>
      </c>
      <c r="I25" s="50">
        <f t="shared" si="39"/>
        <v>1.7999999999999998</v>
      </c>
      <c r="J25" s="50" t="str">
        <f>VLOOKUP($B25,Unidades!$D$5:$N$23,10,FALSE())</f>
        <v>NÃO</v>
      </c>
      <c r="K25" s="50" t="str">
        <f>VLOOKUP($B25,Unidades!$D$5:$N$23,11,FALSE())</f>
        <v>SIM</v>
      </c>
      <c r="L25" s="50">
        <f t="shared" si="40"/>
        <v>1.6500000000000001</v>
      </c>
      <c r="M25" s="50">
        <f t="shared" si="41"/>
        <v>5.65</v>
      </c>
      <c r="N25" s="50">
        <f t="shared" si="42"/>
        <v>34.15</v>
      </c>
      <c r="O25" s="51">
        <f t="shared" si="19"/>
        <v>1712.7775000000001</v>
      </c>
      <c r="P25" s="32"/>
      <c r="Q25" s="53" t="str">
        <f t="shared" si="6"/>
        <v>APS Venâncio Aires</v>
      </c>
      <c r="R25" s="6">
        <f t="shared" si="20"/>
        <v>67.680000000000007</v>
      </c>
      <c r="S25" s="6">
        <f t="shared" si="21"/>
        <v>81.215999999999994</v>
      </c>
      <c r="T25" s="6">
        <f t="shared" si="22"/>
        <v>74.448000000000008</v>
      </c>
      <c r="U25" s="6">
        <f t="shared" si="23"/>
        <v>426.85750000000007</v>
      </c>
      <c r="V25" s="6">
        <f>VLOOKUP(Q25,'Desl. Base Passo Fundo'!$C$5:$S$23,13,FALSE())*($C$29+$D$29+$E$29*(VLOOKUP(Q25,'Desl. Base Passo Fundo'!$C$5:$S$23,17,FALSE())/12))</f>
        <v>156.86711805555558</v>
      </c>
      <c r="W25" s="6">
        <f>VLOOKUP(Q25,'Desl. Base Passo Fundo'!$C$5:$S$23,15,FALSE())*(2+(VLOOKUP(Q25,'Desl. Base Passo Fundo'!$C$5:$S$23,17,FALSE())/12))</f>
        <v>138.27083333333334</v>
      </c>
      <c r="X25" s="6">
        <f>VLOOKUP(Q25,'Desl. Base Passo Fundo'!$C$5:$Q$23,14,FALSE())</f>
        <v>16.399999999999999</v>
      </c>
      <c r="Y25" s="6">
        <f>VLOOKUP(Q25,'Desl. Base Passo Fundo'!$C$5:$Q$23,13,FALSE())*'Desl. Base Passo Fundo'!$E$28+'Desl. Base Passo Fundo'!$E$29*N25/12</f>
        <v>186.17229166666664</v>
      </c>
      <c r="Z25" s="6">
        <f>(H25/$AC$5)*'Equipe Técnica'!$C$13</f>
        <v>299.91181580035851</v>
      </c>
      <c r="AA25" s="6">
        <f>(I25/$AC$5)*'Equipe Técnica'!$C$13</f>
        <v>359.89417896043017</v>
      </c>
      <c r="AB25" s="6">
        <f>(L25/$AC$5)*'Equipe Técnica'!$C$13</f>
        <v>329.90299738039437</v>
      </c>
      <c r="AC25" s="6">
        <f>(M25/$AC$5)*'Equipe Técnica'!$C$13</f>
        <v>1129.6678395146839</v>
      </c>
      <c r="AD25" s="6">
        <f t="shared" si="43"/>
        <v>681.9351272038673</v>
      </c>
      <c r="AE25" s="6">
        <f t="shared" si="44"/>
        <v>755.45349036393895</v>
      </c>
      <c r="AF25" s="6">
        <f t="shared" si="45"/>
        <v>718.69430878390313</v>
      </c>
      <c r="AG25" s="6">
        <f t="shared" si="46"/>
        <v>1870.8686509181928</v>
      </c>
      <c r="AI25" s="53" t="str">
        <f t="shared" si="47"/>
        <v>APS Venâncio Aires</v>
      </c>
      <c r="AJ25" s="63">
        <f>VLOOKUP(AI25,Unidades!D$5:H$23,5,)</f>
        <v>0.2979</v>
      </c>
      <c r="AK25" s="61">
        <f t="shared" si="24"/>
        <v>885.08360159789936</v>
      </c>
      <c r="AL25" s="61">
        <f t="shared" si="25"/>
        <v>980.50308514335643</v>
      </c>
      <c r="AM25" s="61">
        <f t="shared" si="26"/>
        <v>932.79334337062789</v>
      </c>
      <c r="AN25" s="61">
        <f t="shared" si="27"/>
        <v>2428.2004220267227</v>
      </c>
      <c r="AO25" s="61">
        <f t="shared" si="28"/>
        <v>1569.7335557096831</v>
      </c>
      <c r="AP25" s="61">
        <f t="shared" si="29"/>
        <v>4709.2006671290492</v>
      </c>
      <c r="AQ25" s="61">
        <f t="shared" si="30"/>
        <v>6278.9342228387322</v>
      </c>
      <c r="AR25" s="65"/>
      <c r="AS25" s="65"/>
      <c r="AT25" s="65"/>
      <c r="AU25" s="65"/>
      <c r="AV25" s="65"/>
      <c r="AW25" s="65"/>
    </row>
    <row r="26" spans="2:49" s="2" customFormat="1" ht="20.100000000000001" customHeight="1">
      <c r="B26" s="136" t="s">
        <v>79</v>
      </c>
      <c r="C26" s="80">
        <f t="shared" ref="C26:I26" si="48">SUM(C7:C25)</f>
        <v>24888.929999999997</v>
      </c>
      <c r="D26" s="80">
        <f t="shared" ref="D26" si="49">SUM(D7:D25)</f>
        <v>11948.669999999998</v>
      </c>
      <c r="E26" s="80">
        <f t="shared" ref="E26" si="50">SUM(E7:E25)</f>
        <v>9176.5099999999984</v>
      </c>
      <c r="F26" s="80">
        <f t="shared" ref="F26" si="51">SUM(F7:F25)</f>
        <v>3763.75</v>
      </c>
      <c r="G26" s="80">
        <f t="shared" ref="G26" si="52">SUM(G7:G25)</f>
        <v>15536.8235</v>
      </c>
      <c r="H26" s="81">
        <f t="shared" si="48"/>
        <v>33</v>
      </c>
      <c r="I26" s="81">
        <f t="shared" si="48"/>
        <v>39.599999999999987</v>
      </c>
      <c r="J26" s="81">
        <f>COUNTIF(J7:J25,"SIM")</f>
        <v>3</v>
      </c>
      <c r="K26" s="81">
        <f>COUNTIF(K7:K25,"SIM")</f>
        <v>11</v>
      </c>
      <c r="L26" s="81">
        <f>SUM(L7:L25)</f>
        <v>42.29999999999999</v>
      </c>
      <c r="M26" s="81">
        <f>SUM(M7:M25)</f>
        <v>86.300000000000011</v>
      </c>
      <c r="N26" s="81">
        <f>SUM(N7:N25)</f>
        <v>725.29999999999984</v>
      </c>
      <c r="O26" s="82">
        <f>SUM(O7:O25)</f>
        <v>34855.635999999999</v>
      </c>
      <c r="P26" s="33"/>
      <c r="Q26" s="81" t="s">
        <v>79</v>
      </c>
      <c r="R26" s="85">
        <f t="shared" ref="R26:AG26" si="53">SUM(R7:R25)</f>
        <v>1488.9600000000005</v>
      </c>
      <c r="S26" s="85">
        <f t="shared" si="53"/>
        <v>1786.7519999999997</v>
      </c>
      <c r="T26" s="85">
        <f t="shared" si="53"/>
        <v>1908.5760000000009</v>
      </c>
      <c r="U26" s="85">
        <f t="shared" si="53"/>
        <v>6023.956000000001</v>
      </c>
      <c r="V26" s="85">
        <f t="shared" si="53"/>
        <v>1794.4547638888894</v>
      </c>
      <c r="W26" s="85">
        <f t="shared" si="53"/>
        <v>553.08333333333337</v>
      </c>
      <c r="X26" s="85">
        <f t="shared" si="53"/>
        <v>37.699999999999996</v>
      </c>
      <c r="Y26" s="85">
        <f t="shared" si="53"/>
        <v>2343.4970833333332</v>
      </c>
      <c r="Z26" s="85">
        <f t="shared" si="53"/>
        <v>6598.0599476078869</v>
      </c>
      <c r="AA26" s="85">
        <f t="shared" si="53"/>
        <v>7917.6719371294657</v>
      </c>
      <c r="AB26" s="85">
        <f t="shared" si="53"/>
        <v>8457.5132055701124</v>
      </c>
      <c r="AC26" s="85">
        <f t="shared" si="53"/>
        <v>17254.926469047292</v>
      </c>
      <c r="AD26" s="85">
        <f t="shared" si="53"/>
        <v>11073.589535327184</v>
      </c>
      <c r="AE26" s="85">
        <f t="shared" si="53"/>
        <v>12690.993524848764</v>
      </c>
      <c r="AF26" s="85">
        <f t="shared" si="53"/>
        <v>13352.658793289409</v>
      </c>
      <c r="AG26" s="85">
        <f t="shared" si="53"/>
        <v>26265.452056766593</v>
      </c>
      <c r="AI26" s="232" t="s">
        <v>79</v>
      </c>
      <c r="AJ26" s="232"/>
      <c r="AK26" s="86">
        <f t="shared" ref="AK26:AQ26" si="54">SUM(AK7:AK25)</f>
        <v>14340.024257389978</v>
      </c>
      <c r="AL26" s="86">
        <f t="shared" si="54"/>
        <v>16434.883454006223</v>
      </c>
      <c r="AM26" s="86">
        <f t="shared" si="54"/>
        <v>17281.72800088051</v>
      </c>
      <c r="AN26" s="86">
        <f t="shared" si="54"/>
        <v>33982.859191830328</v>
      </c>
      <c r="AO26" s="86">
        <f t="shared" si="54"/>
        <v>25530.511674858004</v>
      </c>
      <c r="AP26" s="86">
        <f t="shared" si="54"/>
        <v>76591.535024573983</v>
      </c>
      <c r="AQ26" s="86">
        <f t="shared" si="54"/>
        <v>102122.04669943202</v>
      </c>
    </row>
    <row r="27" spans="2:49" ht="18.399999999999999" customHeight="1">
      <c r="H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27"/>
      <c r="AE27" s="27"/>
      <c r="AF27" s="27"/>
      <c r="AG27" s="27"/>
    </row>
    <row r="28" spans="2:49" ht="40.35" customHeight="1">
      <c r="B28" s="228" t="s">
        <v>23</v>
      </c>
      <c r="C28" s="77" t="s">
        <v>234</v>
      </c>
      <c r="D28" s="77" t="s">
        <v>235</v>
      </c>
      <c r="E28" s="77" t="s">
        <v>80</v>
      </c>
      <c r="R28" s="126"/>
      <c r="Z28" s="126"/>
      <c r="AA28" s="126"/>
      <c r="AB28" s="126"/>
      <c r="AC28" s="126"/>
    </row>
    <row r="29" spans="2:49" ht="18.399999999999999" customHeight="1">
      <c r="B29" s="228"/>
      <c r="C29" s="6">
        <f>'Comp. Oficial de Manutenção'!D11</f>
        <v>24.41</v>
      </c>
      <c r="D29" s="6">
        <v>20.71</v>
      </c>
      <c r="E29" s="6">
        <v>30.43</v>
      </c>
    </row>
    <row r="30" spans="2:49" ht="28.9" customHeight="1">
      <c r="B30" s="25" t="str">
        <f>'Equipe Técnica'!B9</f>
        <v>* Tabela SINAPI Outubro/2023 (Não Desonerado)</v>
      </c>
    </row>
    <row r="31" spans="2:49" ht="23.85" customHeight="1"/>
  </sheetData>
  <mergeCells count="44">
    <mergeCell ref="AT11:AU11"/>
    <mergeCell ref="AT12:AU12"/>
    <mergeCell ref="B28:B29"/>
    <mergeCell ref="AT13:AU13"/>
    <mergeCell ref="AT14:AU14"/>
    <mergeCell ref="AT15:AU15"/>
    <mergeCell ref="AI26:AJ26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AT1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5"/>
  <sheetViews>
    <sheetView showGridLines="0" zoomScale="110" zoomScaleNormal="110" workbookViewId="0">
      <selection activeCell="O30" sqref="O30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7" width="9.625" style="36" customWidth="1"/>
    <col min="18" max="18" width="8.625" style="36" customWidth="1"/>
    <col min="19" max="19" width="15.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08" t="str">
        <f>"DESLOCAMENTO BASE "&amp;Resumo!B5</f>
        <v>DESLOCAMENTO BASE PASSO FUNDO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10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81</v>
      </c>
      <c r="C4" s="10" t="str">
        <f>"Rota (saída e retorno "&amp;Resumo!B5&amp;")"</f>
        <v>Rota (saída e retorno PASSO FUNDO)</v>
      </c>
      <c r="D4" s="10" t="s">
        <v>82</v>
      </c>
      <c r="E4" s="10" t="s">
        <v>83</v>
      </c>
      <c r="F4" s="10" t="s">
        <v>84</v>
      </c>
      <c r="G4" s="10" t="s">
        <v>85</v>
      </c>
      <c r="H4" s="10" t="s">
        <v>86</v>
      </c>
      <c r="I4" s="10" t="s">
        <v>87</v>
      </c>
      <c r="J4" s="10" t="s">
        <v>88</v>
      </c>
      <c r="K4" s="10" t="s">
        <v>89</v>
      </c>
      <c r="L4" s="10" t="s">
        <v>90</v>
      </c>
      <c r="M4" s="37" t="s">
        <v>91</v>
      </c>
      <c r="N4" s="10" t="s">
        <v>92</v>
      </c>
      <c r="O4" s="71" t="s">
        <v>93</v>
      </c>
      <c r="P4" s="71" t="s">
        <v>94</v>
      </c>
      <c r="Q4" s="71" t="s">
        <v>59</v>
      </c>
      <c r="R4" s="179" t="s">
        <v>281</v>
      </c>
      <c r="S4" s="179" t="s">
        <v>282</v>
      </c>
    </row>
    <row r="5" spans="2:19" ht="15.95" customHeight="1">
      <c r="B5" s="234">
        <v>1</v>
      </c>
      <c r="C5" s="134" t="s">
        <v>222</v>
      </c>
      <c r="D5" s="236">
        <v>46.6</v>
      </c>
      <c r="E5" s="236">
        <v>46.4</v>
      </c>
      <c r="F5" s="236">
        <v>0</v>
      </c>
      <c r="G5" s="237">
        <f>SUM(D5:F6)</f>
        <v>93</v>
      </c>
      <c r="H5" s="241">
        <v>48</v>
      </c>
      <c r="I5" s="241">
        <v>49</v>
      </c>
      <c r="J5" s="241">
        <v>0</v>
      </c>
      <c r="K5" s="242">
        <f>SUM(H5:J6)</f>
        <v>97</v>
      </c>
      <c r="L5" s="243">
        <f>K5/60</f>
        <v>1.6166666666666667</v>
      </c>
      <c r="M5" s="245">
        <v>0</v>
      </c>
      <c r="N5" s="246">
        <v>2</v>
      </c>
      <c r="O5" s="135">
        <f>L5/N5</f>
        <v>0.80833333333333335</v>
      </c>
      <c r="P5" s="148">
        <v>0</v>
      </c>
      <c r="Q5" s="148">
        <v>0</v>
      </c>
      <c r="R5" s="180" t="str">
        <f>INDEX('Base Passo Fundo'!$K$7:$K$25,MATCH('Desl. Base Passo Fundo'!C5,'Base Passo Fundo'!$B$7:$B$25,0))</f>
        <v>SIM</v>
      </c>
      <c r="S5" s="180">
        <v>1</v>
      </c>
    </row>
    <row r="6" spans="2:19" ht="15.95" customHeight="1">
      <c r="B6" s="235"/>
      <c r="C6" s="134" t="s">
        <v>200</v>
      </c>
      <c r="D6" s="236"/>
      <c r="E6" s="236"/>
      <c r="F6" s="236"/>
      <c r="G6" s="237"/>
      <c r="H6" s="241"/>
      <c r="I6" s="241"/>
      <c r="J6" s="241"/>
      <c r="K6" s="242"/>
      <c r="L6" s="244"/>
      <c r="M6" s="245"/>
      <c r="N6" s="246"/>
      <c r="O6" s="135">
        <f>O5</f>
        <v>0.80833333333333335</v>
      </c>
      <c r="P6" s="148">
        <v>0</v>
      </c>
      <c r="Q6" s="148">
        <v>0</v>
      </c>
      <c r="R6" s="180" t="str">
        <f>INDEX('Base Passo Fundo'!$K$7:$K$25,MATCH('Desl. Base Passo Fundo'!C6,'Base Passo Fundo'!$B$7:$B$25,0))</f>
        <v>SIM</v>
      </c>
      <c r="S6" s="180">
        <v>1</v>
      </c>
    </row>
    <row r="7" spans="2:19" ht="15.95" customHeight="1">
      <c r="B7" s="256">
        <v>2</v>
      </c>
      <c r="C7" s="134" t="s">
        <v>202</v>
      </c>
      <c r="D7" s="236">
        <v>65.099999999999994</v>
      </c>
      <c r="E7" s="236">
        <f>98.1-D7</f>
        <v>33</v>
      </c>
      <c r="F7" s="236">
        <v>33.799999999999997</v>
      </c>
      <c r="G7" s="237">
        <f>SUM(D7:F8)</f>
        <v>131.89999999999998</v>
      </c>
      <c r="H7" s="241">
        <v>67</v>
      </c>
      <c r="I7" s="241">
        <f>103-H7</f>
        <v>36</v>
      </c>
      <c r="J7" s="241">
        <v>38</v>
      </c>
      <c r="K7" s="242">
        <f>SUM(H7:J8)</f>
        <v>141</v>
      </c>
      <c r="L7" s="243">
        <f>K7/60</f>
        <v>2.35</v>
      </c>
      <c r="M7" s="245">
        <v>0</v>
      </c>
      <c r="N7" s="246">
        <v>2</v>
      </c>
      <c r="O7" s="135">
        <f>L7/N7</f>
        <v>1.175</v>
      </c>
      <c r="P7" s="148">
        <v>0</v>
      </c>
      <c r="Q7" s="148">
        <v>0</v>
      </c>
      <c r="R7" s="180" t="str">
        <f>INDEX('Base Passo Fundo'!$K$7:$K$25,MATCH('Desl. Base Passo Fundo'!C7,'Base Passo Fundo'!$B$7:$B$25,0))</f>
        <v>SIM</v>
      </c>
      <c r="S7" s="180">
        <v>1</v>
      </c>
    </row>
    <row r="8" spans="2:19" ht="15.95" customHeight="1">
      <c r="B8" s="256"/>
      <c r="C8" s="134" t="s">
        <v>214</v>
      </c>
      <c r="D8" s="236"/>
      <c r="E8" s="236"/>
      <c r="F8" s="236"/>
      <c r="G8" s="237"/>
      <c r="H8" s="241"/>
      <c r="I8" s="241"/>
      <c r="J8" s="241"/>
      <c r="K8" s="242"/>
      <c r="L8" s="244"/>
      <c r="M8" s="245"/>
      <c r="N8" s="246"/>
      <c r="O8" s="135">
        <f>O7</f>
        <v>1.175</v>
      </c>
      <c r="P8" s="148">
        <v>0</v>
      </c>
      <c r="Q8" s="148">
        <v>0</v>
      </c>
      <c r="R8" s="180" t="str">
        <f>INDEX('Base Passo Fundo'!$K$7:$K$25,MATCH('Desl. Base Passo Fundo'!C8,'Base Passo Fundo'!$B$7:$B$25,0))</f>
        <v>SIM</v>
      </c>
      <c r="S8" s="180">
        <v>1</v>
      </c>
    </row>
    <row r="9" spans="2:19" ht="15.95" customHeight="1">
      <c r="B9" s="234">
        <v>3</v>
      </c>
      <c r="C9" s="134" t="s">
        <v>210</v>
      </c>
      <c r="D9" s="236">
        <v>104</v>
      </c>
      <c r="E9" s="236">
        <v>21</v>
      </c>
      <c r="F9" s="236">
        <v>83.4</v>
      </c>
      <c r="G9" s="237">
        <f t="shared" ref="G9" si="0">SUM(D9:F10)</f>
        <v>208.4</v>
      </c>
      <c r="H9" s="241">
        <v>106</v>
      </c>
      <c r="I9" s="241">
        <v>20</v>
      </c>
      <c r="J9" s="241">
        <v>82</v>
      </c>
      <c r="K9" s="242">
        <f t="shared" ref="K9" si="1">SUM(H9:J10)</f>
        <v>208</v>
      </c>
      <c r="L9" s="243">
        <f t="shared" ref="L9" si="2">K9/60</f>
        <v>3.4666666666666668</v>
      </c>
      <c r="M9" s="245">
        <v>0</v>
      </c>
      <c r="N9" s="246">
        <v>2</v>
      </c>
      <c r="O9" s="135">
        <f t="shared" ref="O9" si="3">L9/N9</f>
        <v>1.7333333333333334</v>
      </c>
      <c r="P9" s="148">
        <v>0</v>
      </c>
      <c r="Q9" s="148">
        <v>0</v>
      </c>
      <c r="R9" s="180" t="str">
        <f>INDEX('Base Passo Fundo'!$K$7:$K$25,MATCH('Desl. Base Passo Fundo'!C9,'Base Passo Fundo'!$B$7:$B$25,0))</f>
        <v>NÃO</v>
      </c>
      <c r="S9" s="180">
        <v>1</v>
      </c>
    </row>
    <row r="10" spans="2:19" ht="15.95" customHeight="1">
      <c r="B10" s="235"/>
      <c r="C10" s="134" t="s">
        <v>218</v>
      </c>
      <c r="D10" s="236"/>
      <c r="E10" s="236"/>
      <c r="F10" s="236"/>
      <c r="G10" s="237"/>
      <c r="H10" s="241"/>
      <c r="I10" s="241"/>
      <c r="J10" s="241"/>
      <c r="K10" s="242"/>
      <c r="L10" s="244"/>
      <c r="M10" s="245">
        <v>0</v>
      </c>
      <c r="N10" s="246"/>
      <c r="O10" s="135">
        <f>O9</f>
        <v>1.7333333333333334</v>
      </c>
      <c r="P10" s="148">
        <v>0</v>
      </c>
      <c r="Q10" s="148">
        <v>0</v>
      </c>
      <c r="R10" s="180" t="str">
        <f>INDEX('Base Passo Fundo'!$K$7:$K$25,MATCH('Desl. Base Passo Fundo'!C10,'Base Passo Fundo'!$B$7:$B$25,0))</f>
        <v>SIM</v>
      </c>
      <c r="S10" s="180">
        <v>1</v>
      </c>
    </row>
    <row r="11" spans="2:19" ht="15.95" customHeight="1">
      <c r="B11" s="256">
        <v>4</v>
      </c>
      <c r="C11" s="134" t="s">
        <v>204</v>
      </c>
      <c r="D11" s="236">
        <v>81.8</v>
      </c>
      <c r="E11" s="236">
        <f>117-D11</f>
        <v>35.200000000000003</v>
      </c>
      <c r="F11" s="236">
        <v>49.2</v>
      </c>
      <c r="G11" s="237">
        <f t="shared" ref="G11" si="4">SUM(D11:F12)</f>
        <v>166.2</v>
      </c>
      <c r="H11" s="241">
        <v>76</v>
      </c>
      <c r="I11" s="241">
        <f>116-H11</f>
        <v>40</v>
      </c>
      <c r="J11" s="241">
        <v>48</v>
      </c>
      <c r="K11" s="242">
        <f t="shared" ref="K11" si="5">SUM(H11:J12)</f>
        <v>164</v>
      </c>
      <c r="L11" s="243">
        <f t="shared" ref="L11" si="6">K11/60</f>
        <v>2.7333333333333334</v>
      </c>
      <c r="M11" s="245">
        <v>4.9000000000000004</v>
      </c>
      <c r="N11" s="246">
        <v>2</v>
      </c>
      <c r="O11" s="135">
        <f t="shared" ref="O11" si="7">L11/N11</f>
        <v>1.3666666666666667</v>
      </c>
      <c r="P11" s="148">
        <f>M11/N11</f>
        <v>2.4500000000000002</v>
      </c>
      <c r="Q11" s="148">
        <v>0</v>
      </c>
      <c r="R11" s="180" t="str">
        <f>INDEX('Base Passo Fundo'!$K$7:$K$25,MATCH('Desl. Base Passo Fundo'!C11,'Base Passo Fundo'!$B$7:$B$25,0))</f>
        <v>SIM</v>
      </c>
      <c r="S11" s="180">
        <v>1</v>
      </c>
    </row>
    <row r="12" spans="2:19" ht="15.95" customHeight="1">
      <c r="B12" s="256"/>
      <c r="C12" s="134" t="s">
        <v>208</v>
      </c>
      <c r="D12" s="236"/>
      <c r="E12" s="236"/>
      <c r="F12" s="236"/>
      <c r="G12" s="237"/>
      <c r="H12" s="241"/>
      <c r="I12" s="241"/>
      <c r="J12" s="241"/>
      <c r="K12" s="242"/>
      <c r="L12" s="244"/>
      <c r="M12" s="245"/>
      <c r="N12" s="246"/>
      <c r="O12" s="135">
        <f>O11</f>
        <v>1.3666666666666667</v>
      </c>
      <c r="P12" s="148">
        <f>P11</f>
        <v>2.4500000000000002</v>
      </c>
      <c r="Q12" s="148">
        <v>0</v>
      </c>
      <c r="R12" s="180" t="str">
        <f>INDEX('Base Passo Fundo'!$K$7:$K$25,MATCH('Desl. Base Passo Fundo'!C12,'Base Passo Fundo'!$B$7:$B$25,0))</f>
        <v>NÃO</v>
      </c>
      <c r="S12" s="180">
        <v>1</v>
      </c>
    </row>
    <row r="13" spans="2:19" ht="15.95" customHeight="1">
      <c r="B13" s="234">
        <v>5</v>
      </c>
      <c r="C13" s="147" t="s">
        <v>212</v>
      </c>
      <c r="D13" s="236">
        <v>98.4</v>
      </c>
      <c r="E13" s="236">
        <f>176-D13</f>
        <v>77.599999999999994</v>
      </c>
      <c r="F13" s="236">
        <v>176</v>
      </c>
      <c r="G13" s="237">
        <f t="shared" ref="G13" si="8">SUM(D13:F14)</f>
        <v>352</v>
      </c>
      <c r="H13" s="241">
        <v>85</v>
      </c>
      <c r="I13" s="241">
        <f>155-H13</f>
        <v>70</v>
      </c>
      <c r="J13" s="241">
        <v>141</v>
      </c>
      <c r="K13" s="242">
        <f t="shared" ref="K13" si="9">SUM(H13:J14)</f>
        <v>296</v>
      </c>
      <c r="L13" s="243">
        <f t="shared" ref="L13" si="10">K13/60</f>
        <v>4.9333333333333336</v>
      </c>
      <c r="M13" s="245">
        <v>0</v>
      </c>
      <c r="N13" s="246">
        <v>2</v>
      </c>
      <c r="O13" s="135">
        <f t="shared" ref="O13" si="11">L13/N13</f>
        <v>2.4666666666666668</v>
      </c>
      <c r="P13" s="148">
        <v>0</v>
      </c>
      <c r="Q13" s="148">
        <v>0</v>
      </c>
      <c r="R13" s="180" t="str">
        <f>INDEX('Base Passo Fundo'!$K$7:$K$25,MATCH('Desl. Base Passo Fundo'!C13,'Base Passo Fundo'!$B$7:$B$25,0))</f>
        <v>NÃO</v>
      </c>
      <c r="S13" s="180">
        <v>0</v>
      </c>
    </row>
    <row r="14" spans="2:19" ht="15.95" customHeight="1">
      <c r="B14" s="235"/>
      <c r="C14" s="147" t="s">
        <v>196</v>
      </c>
      <c r="D14" s="236"/>
      <c r="E14" s="236"/>
      <c r="F14" s="236"/>
      <c r="G14" s="237"/>
      <c r="H14" s="241"/>
      <c r="I14" s="241"/>
      <c r="J14" s="241"/>
      <c r="K14" s="242"/>
      <c r="L14" s="244"/>
      <c r="M14" s="245"/>
      <c r="N14" s="246"/>
      <c r="O14" s="135">
        <f>O13</f>
        <v>2.4666666666666668</v>
      </c>
      <c r="P14" s="148">
        <v>0</v>
      </c>
      <c r="Q14" s="148">
        <v>0</v>
      </c>
      <c r="R14" s="180" t="str">
        <f>INDEX('Base Passo Fundo'!$K$7:$K$25,MATCH('Desl. Base Passo Fundo'!C14,'Base Passo Fundo'!$B$7:$B$25,0))</f>
        <v>NÃO</v>
      </c>
      <c r="S14" s="180">
        <v>0</v>
      </c>
    </row>
    <row r="15" spans="2:19" ht="15.95" customHeight="1">
      <c r="B15" s="234">
        <v>6</v>
      </c>
      <c r="C15" s="134" t="s">
        <v>206</v>
      </c>
      <c r="D15" s="236">
        <v>83.6</v>
      </c>
      <c r="E15" s="236">
        <f>125-D15</f>
        <v>41.400000000000006</v>
      </c>
      <c r="F15" s="236">
        <v>76.3</v>
      </c>
      <c r="G15" s="237">
        <f t="shared" ref="G15" si="12">SUM(D15:F16)</f>
        <v>201.3</v>
      </c>
      <c r="H15" s="241">
        <v>71</v>
      </c>
      <c r="I15" s="241">
        <f>105-H15</f>
        <v>34</v>
      </c>
      <c r="J15" s="241">
        <v>68</v>
      </c>
      <c r="K15" s="242">
        <f t="shared" ref="K15" si="13">SUM(H15:J16)</f>
        <v>173</v>
      </c>
      <c r="L15" s="243">
        <f t="shared" ref="L15" si="14">K15/60</f>
        <v>2.8833333333333333</v>
      </c>
      <c r="M15" s="245">
        <v>0</v>
      </c>
      <c r="N15" s="246">
        <v>2</v>
      </c>
      <c r="O15" s="135">
        <f t="shared" ref="O15" si="15">L15/N15</f>
        <v>1.4416666666666667</v>
      </c>
      <c r="P15" s="148">
        <v>0</v>
      </c>
      <c r="Q15" s="148">
        <v>0</v>
      </c>
      <c r="R15" s="180" t="str">
        <f>INDEX('Base Passo Fundo'!$K$7:$K$25,MATCH('Desl. Base Passo Fundo'!C15,'Base Passo Fundo'!$B$7:$B$25,0))</f>
        <v>NÃO</v>
      </c>
      <c r="S15" s="180">
        <v>1</v>
      </c>
    </row>
    <row r="16" spans="2:19" ht="15.95" customHeight="1">
      <c r="B16" s="235"/>
      <c r="C16" s="134" t="s">
        <v>220</v>
      </c>
      <c r="D16" s="236"/>
      <c r="E16" s="236"/>
      <c r="F16" s="236"/>
      <c r="G16" s="237"/>
      <c r="H16" s="241"/>
      <c r="I16" s="241"/>
      <c r="J16" s="241"/>
      <c r="K16" s="242"/>
      <c r="L16" s="244"/>
      <c r="M16" s="245"/>
      <c r="N16" s="246"/>
      <c r="O16" s="135">
        <f>O15</f>
        <v>1.4416666666666667</v>
      </c>
      <c r="P16" s="148">
        <v>0</v>
      </c>
      <c r="Q16" s="148">
        <v>0</v>
      </c>
      <c r="R16" s="180" t="str">
        <f>INDEX('Base Passo Fundo'!$K$7:$K$25,MATCH('Desl. Base Passo Fundo'!C16,'Base Passo Fundo'!$B$7:$B$25,0))</f>
        <v>SIM</v>
      </c>
      <c r="S16" s="180">
        <v>1</v>
      </c>
    </row>
    <row r="17" spans="2:19" ht="15.95" customHeight="1">
      <c r="B17" s="146">
        <v>7</v>
      </c>
      <c r="C17" s="147" t="s">
        <v>216</v>
      </c>
      <c r="D17" s="142">
        <v>78.2</v>
      </c>
      <c r="E17" s="142">
        <v>78.7</v>
      </c>
      <c r="F17" s="142">
        <v>0</v>
      </c>
      <c r="G17" s="143">
        <f>SUM(D17:F17)</f>
        <v>156.9</v>
      </c>
      <c r="H17" s="144">
        <v>74</v>
      </c>
      <c r="I17" s="144">
        <v>76</v>
      </c>
      <c r="J17" s="144">
        <v>0</v>
      </c>
      <c r="K17" s="145">
        <f>SUM(H17:J17)</f>
        <v>150</v>
      </c>
      <c r="L17" s="135">
        <f t="shared" ref="L17:L18" si="16">K17/60</f>
        <v>2.5</v>
      </c>
      <c r="M17" s="140">
        <v>0</v>
      </c>
      <c r="N17" s="141">
        <v>1</v>
      </c>
      <c r="O17" s="135">
        <f t="shared" ref="O17:O18" si="17">L17/N17</f>
        <v>2.5</v>
      </c>
      <c r="P17" s="140">
        <v>0</v>
      </c>
      <c r="Q17" s="148">
        <v>0</v>
      </c>
      <c r="R17" s="180" t="str">
        <f>INDEX('Base Passo Fundo'!$K$7:$K$25,MATCH('Desl. Base Passo Fundo'!C17,'Base Passo Fundo'!$B$7:$B$25,0))</f>
        <v>NÃO</v>
      </c>
      <c r="S17" s="180">
        <v>0</v>
      </c>
    </row>
    <row r="18" spans="2:19" ht="15.95" customHeight="1">
      <c r="B18" s="234">
        <v>8</v>
      </c>
      <c r="C18" s="134" t="s">
        <v>194</v>
      </c>
      <c r="D18" s="236">
        <v>116</v>
      </c>
      <c r="E18" s="236">
        <v>18</v>
      </c>
      <c r="F18" s="236">
        <v>136</v>
      </c>
      <c r="G18" s="237">
        <f t="shared" ref="G18" si="18">SUM(D18:F19)</f>
        <v>270</v>
      </c>
      <c r="H18" s="241">
        <v>115</v>
      </c>
      <c r="I18" s="241">
        <v>19</v>
      </c>
      <c r="J18" s="241">
        <v>130</v>
      </c>
      <c r="K18" s="242">
        <f t="shared" ref="K18" si="19">SUM(H18:J19)</f>
        <v>264</v>
      </c>
      <c r="L18" s="243">
        <f t="shared" si="16"/>
        <v>4.4000000000000004</v>
      </c>
      <c r="M18" s="245">
        <v>0</v>
      </c>
      <c r="N18" s="246">
        <v>2</v>
      </c>
      <c r="O18" s="135">
        <f t="shared" si="17"/>
        <v>2.2000000000000002</v>
      </c>
      <c r="P18" s="148">
        <v>0</v>
      </c>
      <c r="Q18" s="148">
        <v>0</v>
      </c>
      <c r="R18" s="180" t="str">
        <f>INDEX('Base Passo Fundo'!$K$7:$K$25,MATCH('Desl. Base Passo Fundo'!C18,'Base Passo Fundo'!$B$7:$B$25,0))</f>
        <v>NÃO</v>
      </c>
      <c r="S18" s="180">
        <v>1</v>
      </c>
    </row>
    <row r="19" spans="2:19" ht="15.95" customHeight="1">
      <c r="B19" s="235"/>
      <c r="C19" s="134" t="s">
        <v>198</v>
      </c>
      <c r="D19" s="236"/>
      <c r="E19" s="236"/>
      <c r="F19" s="236"/>
      <c r="G19" s="237"/>
      <c r="H19" s="241"/>
      <c r="I19" s="241"/>
      <c r="J19" s="241"/>
      <c r="K19" s="242"/>
      <c r="L19" s="244"/>
      <c r="M19" s="245"/>
      <c r="N19" s="246"/>
      <c r="O19" s="135">
        <f>O18</f>
        <v>2.2000000000000002</v>
      </c>
      <c r="P19" s="148">
        <v>0</v>
      </c>
      <c r="Q19" s="148">
        <v>0</v>
      </c>
      <c r="R19" s="180" t="str">
        <f>INDEX('Base Passo Fundo'!$K$7:$K$25,MATCH('Desl. Base Passo Fundo'!C19,'Base Passo Fundo'!$B$7:$B$25,0))</f>
        <v>SIM</v>
      </c>
      <c r="S19" s="180">
        <v>1</v>
      </c>
    </row>
    <row r="20" spans="2:19" ht="15.95" customHeight="1">
      <c r="B20" s="234">
        <v>9</v>
      </c>
      <c r="C20" s="134" t="s">
        <v>228</v>
      </c>
      <c r="D20" s="236">
        <v>194</v>
      </c>
      <c r="E20" s="236">
        <f>239-D20</f>
        <v>45</v>
      </c>
      <c r="F20" s="236">
        <v>217</v>
      </c>
      <c r="G20" s="237">
        <f t="shared" ref="G20" si="20">SUM(D20:F21)</f>
        <v>456</v>
      </c>
      <c r="H20" s="241">
        <v>165</v>
      </c>
      <c r="I20" s="241">
        <f>207-H20</f>
        <v>42</v>
      </c>
      <c r="J20" s="241">
        <v>188</v>
      </c>
      <c r="K20" s="242">
        <f t="shared" ref="K20" si="21">SUM(H20:J21)</f>
        <v>395</v>
      </c>
      <c r="L20" s="243">
        <f t="shared" ref="L20" si="22">K20/60</f>
        <v>6.583333333333333</v>
      </c>
      <c r="M20" s="245">
        <v>0</v>
      </c>
      <c r="N20" s="246">
        <v>2</v>
      </c>
      <c r="O20" s="135">
        <f t="shared" ref="O20" si="23">L20/N20</f>
        <v>3.2916666666666665</v>
      </c>
      <c r="P20" s="148">
        <v>0</v>
      </c>
      <c r="Q20" s="148">
        <f>E44/N20</f>
        <v>66.37</v>
      </c>
      <c r="R20" s="180" t="str">
        <f>INDEX('Base Passo Fundo'!$K$7:$K$25,MATCH('Desl. Base Passo Fundo'!C20,'Base Passo Fundo'!$B$7:$B$25,0))</f>
        <v>NÃO</v>
      </c>
      <c r="S20" s="180">
        <v>1</v>
      </c>
    </row>
    <row r="21" spans="2:19" ht="15.95" customHeight="1">
      <c r="B21" s="235"/>
      <c r="C21" s="134" t="s">
        <v>224</v>
      </c>
      <c r="D21" s="236"/>
      <c r="E21" s="236"/>
      <c r="F21" s="236"/>
      <c r="G21" s="237"/>
      <c r="H21" s="241"/>
      <c r="I21" s="241"/>
      <c r="J21" s="241"/>
      <c r="K21" s="242"/>
      <c r="L21" s="244"/>
      <c r="M21" s="245"/>
      <c r="N21" s="246"/>
      <c r="O21" s="135">
        <f>O20</f>
        <v>3.2916666666666665</v>
      </c>
      <c r="P21" s="148">
        <v>0</v>
      </c>
      <c r="Q21" s="148">
        <f>Q20</f>
        <v>66.37</v>
      </c>
      <c r="R21" s="180" t="str">
        <f>INDEX('Base Passo Fundo'!$K$7:$K$25,MATCH('Desl. Base Passo Fundo'!C21,'Base Passo Fundo'!$B$7:$B$25,0))</f>
        <v>SIM</v>
      </c>
      <c r="S21" s="180">
        <v>1</v>
      </c>
    </row>
    <row r="22" spans="2:19" ht="15.95" customHeight="1">
      <c r="B22" s="234">
        <v>10</v>
      </c>
      <c r="C22" s="134" t="s">
        <v>230</v>
      </c>
      <c r="D22" s="236">
        <v>203</v>
      </c>
      <c r="E22" s="236">
        <v>33</v>
      </c>
      <c r="F22" s="236">
        <v>216</v>
      </c>
      <c r="G22" s="237">
        <f t="shared" ref="G22" si="24">SUM(D22:F23)</f>
        <v>452</v>
      </c>
      <c r="H22" s="241">
        <v>186</v>
      </c>
      <c r="I22" s="241">
        <f>214-H22</f>
        <v>28</v>
      </c>
      <c r="J22" s="241">
        <v>181</v>
      </c>
      <c r="K22" s="242">
        <f t="shared" ref="K22" si="25">SUM(H22:J23)</f>
        <v>395</v>
      </c>
      <c r="L22" s="243">
        <f t="shared" ref="L22" si="26">K22/60</f>
        <v>6.583333333333333</v>
      </c>
      <c r="M22" s="245">
        <v>32.799999999999997</v>
      </c>
      <c r="N22" s="246">
        <v>2</v>
      </c>
      <c r="O22" s="135">
        <f t="shared" ref="O22" si="27">L22/N22</f>
        <v>3.2916666666666665</v>
      </c>
      <c r="P22" s="148">
        <f>M22/N22</f>
        <v>16.399999999999999</v>
      </c>
      <c r="Q22" s="148">
        <f>E44/N22</f>
        <v>66.37</v>
      </c>
      <c r="R22" s="180" t="str">
        <f>INDEX('Base Passo Fundo'!$K$7:$K$25,MATCH('Desl. Base Passo Fundo'!C22,'Base Passo Fundo'!$B$7:$B$25,0))</f>
        <v>SIM</v>
      </c>
      <c r="S22" s="180">
        <v>1</v>
      </c>
    </row>
    <row r="23" spans="2:19" ht="15.95" customHeight="1">
      <c r="B23" s="235"/>
      <c r="C23" s="134" t="s">
        <v>226</v>
      </c>
      <c r="D23" s="236"/>
      <c r="E23" s="236"/>
      <c r="F23" s="236"/>
      <c r="G23" s="237"/>
      <c r="H23" s="241"/>
      <c r="I23" s="241"/>
      <c r="J23" s="241"/>
      <c r="K23" s="242"/>
      <c r="L23" s="244"/>
      <c r="M23" s="245"/>
      <c r="N23" s="246"/>
      <c r="O23" s="135">
        <f>O22</f>
        <v>3.2916666666666665</v>
      </c>
      <c r="P23" s="148">
        <f>P22</f>
        <v>16.399999999999999</v>
      </c>
      <c r="Q23" s="148">
        <f>Q22</f>
        <v>66.37</v>
      </c>
      <c r="R23" s="180" t="str">
        <f>INDEX('Base Passo Fundo'!$K$7:$K$25,MATCH('Desl. Base Passo Fundo'!C23,'Base Passo Fundo'!$B$7:$B$25,0))</f>
        <v>SIM</v>
      </c>
      <c r="S23" s="180">
        <v>1</v>
      </c>
    </row>
    <row r="24" spans="2:19" ht="20.100000000000001" customHeight="1">
      <c r="B24" s="251" t="s">
        <v>79</v>
      </c>
      <c r="C24" s="252"/>
      <c r="D24" s="252"/>
      <c r="E24" s="252"/>
      <c r="F24" s="253"/>
      <c r="G24" s="149">
        <f>SUM(G5:G23)</f>
        <v>2487.6999999999998</v>
      </c>
      <c r="H24" s="254" t="s">
        <v>79</v>
      </c>
      <c r="I24" s="254"/>
      <c r="J24" s="254"/>
      <c r="K24" s="150">
        <f t="shared" ref="K24:Q24" si="28">SUM(K5:K23)</f>
        <v>2283</v>
      </c>
      <c r="L24" s="90">
        <f t="shared" si="28"/>
        <v>38.049999999999997</v>
      </c>
      <c r="M24" s="89">
        <f t="shared" si="28"/>
        <v>37.699999999999996</v>
      </c>
      <c r="N24" s="91">
        <f t="shared" si="28"/>
        <v>19</v>
      </c>
      <c r="O24" s="90"/>
      <c r="P24" s="89"/>
      <c r="Q24" s="89">
        <f t="shared" si="28"/>
        <v>265.48</v>
      </c>
      <c r="R24" s="89"/>
      <c r="S24" s="89"/>
    </row>
    <row r="25" spans="2:19" ht="17.100000000000001" customHeight="1">
      <c r="B25" s="38"/>
      <c r="C25" s="38"/>
      <c r="D25" s="38"/>
      <c r="E25" s="38"/>
      <c r="F25" s="38"/>
    </row>
    <row r="26" spans="2:19" ht="18.75" customHeight="1">
      <c r="B26" s="255" t="s">
        <v>95</v>
      </c>
      <c r="C26" s="255"/>
      <c r="D26" s="255"/>
      <c r="E26" s="255"/>
      <c r="F26" s="38"/>
      <c r="G26" s="38"/>
      <c r="H26" s="38"/>
      <c r="I26" s="38"/>
      <c r="J26" s="38"/>
      <c r="K26" s="38"/>
      <c r="L26" s="38"/>
      <c r="M26" s="38"/>
      <c r="N26" s="39"/>
      <c r="O26" s="39"/>
    </row>
    <row r="27" spans="2:19" ht="18.75" customHeight="1">
      <c r="B27" s="99" t="s">
        <v>96</v>
      </c>
      <c r="C27" s="99" t="s">
        <v>97</v>
      </c>
      <c r="D27" s="99" t="s">
        <v>98</v>
      </c>
      <c r="E27" s="99" t="s">
        <v>99</v>
      </c>
      <c r="F27" s="38"/>
      <c r="G27" s="38"/>
      <c r="H27" s="39"/>
      <c r="I27" s="39"/>
      <c r="J27" s="38"/>
      <c r="K27" s="38"/>
      <c r="L27" s="38"/>
      <c r="M27" s="38"/>
      <c r="N27" s="39"/>
      <c r="O27" s="39"/>
    </row>
    <row r="28" spans="2:19" ht="18.75" customHeight="1">
      <c r="B28" s="93" t="s">
        <v>100</v>
      </c>
      <c r="C28" s="92" t="s">
        <v>101</v>
      </c>
      <c r="D28" s="93" t="s">
        <v>102</v>
      </c>
      <c r="E28" s="94">
        <f>'Comp. Veículo'!D11</f>
        <v>50.55</v>
      </c>
      <c r="F28" s="38"/>
      <c r="G28" s="38"/>
      <c r="H28" s="40"/>
      <c r="I28" s="40"/>
      <c r="J28" s="38"/>
      <c r="K28" s="38"/>
      <c r="L28" s="38"/>
      <c r="M28" s="38"/>
      <c r="N28" s="39"/>
      <c r="O28" s="39"/>
    </row>
    <row r="29" spans="2:19" ht="18.75" customHeight="1">
      <c r="B29" s="96" t="s">
        <v>103</v>
      </c>
      <c r="C29" s="97" t="s">
        <v>101</v>
      </c>
      <c r="D29" s="96" t="s">
        <v>104</v>
      </c>
      <c r="E29" s="98">
        <f>'Comp. Veículo'!D27</f>
        <v>6.95</v>
      </c>
      <c r="F29" s="38"/>
      <c r="G29" s="38"/>
      <c r="H29" s="40"/>
      <c r="I29" s="40"/>
      <c r="J29" s="38"/>
      <c r="K29" s="38"/>
      <c r="L29" s="38"/>
      <c r="M29" s="38"/>
      <c r="N29" s="39"/>
      <c r="O29" s="39"/>
    </row>
    <row r="30" spans="2:19" ht="47.25" customHeight="1">
      <c r="B30" s="247" t="s">
        <v>105</v>
      </c>
      <c r="C30" s="247"/>
      <c r="D30" s="247"/>
      <c r="E30" s="247"/>
      <c r="F30" s="95"/>
      <c r="G30" s="95"/>
      <c r="H30" s="95"/>
      <c r="I30" s="95"/>
      <c r="J30" s="95"/>
      <c r="K30" s="95"/>
      <c r="L30" s="95"/>
      <c r="M30" s="38"/>
      <c r="N30" s="39"/>
      <c r="O30" s="39"/>
    </row>
    <row r="31" spans="2:19" ht="16.5" customHeight="1">
      <c r="B31" s="54"/>
      <c r="C31" s="54"/>
      <c r="D31" s="54"/>
      <c r="E31" s="54"/>
      <c r="F31" s="95"/>
      <c r="G31" s="95"/>
      <c r="H31" s="95"/>
      <c r="I31" s="95"/>
      <c r="J31" s="95"/>
      <c r="K31" s="95"/>
      <c r="L31" s="95"/>
      <c r="M31" s="38"/>
      <c r="N31" s="39"/>
      <c r="O31" s="39"/>
    </row>
    <row r="32" spans="2:19" ht="17.100000000000001" customHeight="1">
      <c r="B32" s="248" t="s">
        <v>106</v>
      </c>
      <c r="C32" s="249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93" t="s">
        <v>102</v>
      </c>
      <c r="C33" s="94">
        <f>E28*L24</f>
        <v>1923.4274999999998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9"/>
      <c r="O33" s="39"/>
    </row>
    <row r="34" spans="2:15" ht="17.100000000000001" customHeight="1">
      <c r="B34" s="93" t="s">
        <v>104</v>
      </c>
      <c r="C34" s="94">
        <f>E29*('Base Passo Fundo'!N26/12)</f>
        <v>420.06958333333324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101" t="s">
        <v>21</v>
      </c>
      <c r="C35" s="100">
        <f>C33+C34</f>
        <v>2343.4970833333332</v>
      </c>
      <c r="D35" s="38"/>
      <c r="E35" s="38"/>
      <c r="F35" s="38"/>
      <c r="G35" s="38"/>
      <c r="H35" s="38"/>
      <c r="I35" s="38"/>
      <c r="M35" s="38"/>
      <c r="N35" s="39"/>
      <c r="O35" s="39"/>
    </row>
    <row r="36" spans="2:15" ht="17.100000000000001" customHeight="1">
      <c r="B36" s="38"/>
      <c r="C36" s="41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39"/>
    </row>
    <row r="37" spans="2:15" ht="17.100000000000001" customHeight="1">
      <c r="B37" s="250" t="s">
        <v>107</v>
      </c>
      <c r="C37" s="250"/>
      <c r="D37" s="38"/>
      <c r="J37" s="38"/>
      <c r="K37" s="38"/>
      <c r="L37" s="38"/>
      <c r="M37" s="38"/>
      <c r="N37" s="39"/>
      <c r="O37" s="39"/>
    </row>
    <row r="38" spans="2:15" ht="17.100000000000001" customHeight="1">
      <c r="B38" s="115" t="s">
        <v>99</v>
      </c>
      <c r="C38" s="102">
        <f>SUM(M5:M23)</f>
        <v>37.699999999999996</v>
      </c>
      <c r="J38" s="38"/>
      <c r="K38" s="38"/>
      <c r="L38" s="38"/>
      <c r="M38" s="38"/>
      <c r="N38" s="39"/>
      <c r="O38" s="39"/>
    </row>
    <row r="39" spans="2:15" ht="17.100000000000001" customHeight="1">
      <c r="B39" s="38"/>
      <c r="C39" s="42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  <c r="O39" s="39"/>
    </row>
    <row r="40" spans="2:15">
      <c r="B40" s="238" t="s">
        <v>174</v>
      </c>
      <c r="C40" s="239"/>
    </row>
    <row r="42" spans="2:15" ht="17.100000000000001" customHeight="1">
      <c r="B42" s="240" t="s">
        <v>59</v>
      </c>
      <c r="C42" s="240"/>
      <c r="D42" s="240"/>
      <c r="E42" s="240"/>
    </row>
    <row r="43" spans="2:15" ht="17.100000000000001" customHeight="1">
      <c r="B43" s="181" t="s">
        <v>283</v>
      </c>
      <c r="C43" s="181" t="s">
        <v>97</v>
      </c>
      <c r="D43" s="181" t="s">
        <v>98</v>
      </c>
      <c r="E43" s="181" t="s">
        <v>99</v>
      </c>
    </row>
    <row r="44" spans="2:15" ht="30" customHeight="1">
      <c r="B44" s="96" t="s">
        <v>284</v>
      </c>
      <c r="C44" s="182" t="s">
        <v>285</v>
      </c>
      <c r="D44" s="96" t="s">
        <v>286</v>
      </c>
      <c r="E44" s="183">
        <v>132.74</v>
      </c>
    </row>
    <row r="45" spans="2:15" ht="22.5" customHeight="1">
      <c r="B45" s="233" t="s">
        <v>287</v>
      </c>
      <c r="C45" s="233"/>
      <c r="D45" s="233"/>
      <c r="E45" s="233"/>
    </row>
  </sheetData>
  <mergeCells count="118">
    <mergeCell ref="B15:B16"/>
    <mergeCell ref="D15:D16"/>
    <mergeCell ref="E15:E16"/>
    <mergeCell ref="F15:F16"/>
    <mergeCell ref="G15:G16"/>
    <mergeCell ref="B13:B14"/>
    <mergeCell ref="D13:D14"/>
    <mergeCell ref="E13:E14"/>
    <mergeCell ref="F13:F14"/>
    <mergeCell ref="G13:G14"/>
    <mergeCell ref="M9:M10"/>
    <mergeCell ref="N9:N10"/>
    <mergeCell ref="K11:K12"/>
    <mergeCell ref="L11:L12"/>
    <mergeCell ref="M11:M12"/>
    <mergeCell ref="N11:N12"/>
    <mergeCell ref="K9:K10"/>
    <mergeCell ref="L9:L10"/>
    <mergeCell ref="E9:E10"/>
    <mergeCell ref="F9:F10"/>
    <mergeCell ref="G9:G10"/>
    <mergeCell ref="H9:H10"/>
    <mergeCell ref="I9:I10"/>
    <mergeCell ref="J9:J10"/>
    <mergeCell ref="I13:I14"/>
    <mergeCell ref="J13:J14"/>
    <mergeCell ref="K13:K14"/>
    <mergeCell ref="L13:L14"/>
    <mergeCell ref="B11:B12"/>
    <mergeCell ref="D11:D12"/>
    <mergeCell ref="E11:E12"/>
    <mergeCell ref="F11:F12"/>
    <mergeCell ref="G11:G12"/>
    <mergeCell ref="H11:H12"/>
    <mergeCell ref="I11:I12"/>
    <mergeCell ref="J11:J12"/>
    <mergeCell ref="H20:H21"/>
    <mergeCell ref="I20:I21"/>
    <mergeCell ref="J20:J21"/>
    <mergeCell ref="K20:K21"/>
    <mergeCell ref="B9:B10"/>
    <mergeCell ref="D9:D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D5:D6"/>
    <mergeCell ref="E5:E6"/>
    <mergeCell ref="F5:F6"/>
    <mergeCell ref="G5:G6"/>
    <mergeCell ref="L20:L21"/>
    <mergeCell ref="M20:M21"/>
    <mergeCell ref="B30:E30"/>
    <mergeCell ref="B32:C32"/>
    <mergeCell ref="B37:C37"/>
    <mergeCell ref="B24:F24"/>
    <mergeCell ref="H24:J24"/>
    <mergeCell ref="B26:E26"/>
    <mergeCell ref="N20:N21"/>
    <mergeCell ref="B22:B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B20:B21"/>
    <mergeCell ref="D20:D21"/>
    <mergeCell ref="E20:E21"/>
    <mergeCell ref="H18:H19"/>
    <mergeCell ref="I18:I19"/>
    <mergeCell ref="J18:J19"/>
    <mergeCell ref="K18:K19"/>
    <mergeCell ref="L18:L19"/>
    <mergeCell ref="M18:M19"/>
    <mergeCell ref="N18:N19"/>
    <mergeCell ref="L5:L6"/>
    <mergeCell ref="M5:M6"/>
    <mergeCell ref="N5:N6"/>
    <mergeCell ref="H5:H6"/>
    <mergeCell ref="I5:I6"/>
    <mergeCell ref="J5:J6"/>
    <mergeCell ref="K5:K6"/>
    <mergeCell ref="M15:M16"/>
    <mergeCell ref="N15:N16"/>
    <mergeCell ref="H15:H16"/>
    <mergeCell ref="I15:I16"/>
    <mergeCell ref="J15:J16"/>
    <mergeCell ref="K15:K16"/>
    <mergeCell ref="L15:L16"/>
    <mergeCell ref="M13:M14"/>
    <mergeCell ref="N13:N14"/>
    <mergeCell ref="H13:H14"/>
    <mergeCell ref="B45:E45"/>
    <mergeCell ref="B18:B19"/>
    <mergeCell ref="D18:D19"/>
    <mergeCell ref="E18:E19"/>
    <mergeCell ref="F18:F19"/>
    <mergeCell ref="G18:G19"/>
    <mergeCell ref="B40:C40"/>
    <mergeCell ref="F20:F21"/>
    <mergeCell ref="G20:G21"/>
    <mergeCell ref="B42:E42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O6 O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04CB5-0314-416F-B65A-2998ABCDC26C}">
  <sheetPr>
    <tabColor theme="0"/>
  </sheetPr>
  <dimension ref="B1:F16"/>
  <sheetViews>
    <sheetView zoomScale="110" zoomScaleNormal="110" workbookViewId="0">
      <selection activeCell="I19" sqref="I19"/>
    </sheetView>
  </sheetViews>
  <sheetFormatPr defaultColWidth="10.125" defaultRowHeight="12.75"/>
  <cols>
    <col min="1" max="1" width="5" style="152" customWidth="1"/>
    <col min="2" max="2" width="33.625" style="152" customWidth="1"/>
    <col min="3" max="3" width="27.75" style="152" customWidth="1"/>
    <col min="4" max="4" width="15" style="152" customWidth="1"/>
    <col min="5" max="5" width="7.5" style="152" customWidth="1"/>
    <col min="6" max="16384" width="10.125" style="152"/>
  </cols>
  <sheetData>
    <row r="1" spans="2:6" ht="15" customHeight="1"/>
    <row r="2" spans="2:6" ht="15" customHeight="1">
      <c r="C2" s="184" t="s">
        <v>237</v>
      </c>
    </row>
    <row r="3" spans="2:6" ht="15" customHeight="1">
      <c r="B3" s="154" t="s">
        <v>288</v>
      </c>
      <c r="C3" s="184" t="s">
        <v>289</v>
      </c>
    </row>
    <row r="4" spans="2:6" ht="15" customHeight="1">
      <c r="B4" s="154" t="s">
        <v>290</v>
      </c>
      <c r="C4" s="155" t="s">
        <v>291</v>
      </c>
    </row>
    <row r="5" spans="2:6" ht="15" customHeight="1">
      <c r="B5" s="154" t="s">
        <v>242</v>
      </c>
      <c r="C5" s="155">
        <v>45200</v>
      </c>
    </row>
    <row r="6" spans="2:6" ht="15" customHeight="1">
      <c r="B6" s="154" t="s">
        <v>292</v>
      </c>
      <c r="C6" s="156">
        <v>56.25</v>
      </c>
    </row>
    <row r="7" spans="2:6">
      <c r="B7" s="185"/>
      <c r="C7" s="186"/>
    </row>
    <row r="8" spans="2:6" ht="27.75" customHeight="1">
      <c r="B8" s="159" t="s">
        <v>293</v>
      </c>
      <c r="C8" s="187" t="s">
        <v>294</v>
      </c>
    </row>
    <row r="9" spans="2:6" ht="15" customHeight="1">
      <c r="B9" s="154" t="s">
        <v>247</v>
      </c>
      <c r="C9" s="160">
        <v>0.83340000000000003</v>
      </c>
    </row>
    <row r="10" spans="2:6" ht="15" customHeight="1">
      <c r="B10" s="154" t="s">
        <v>249</v>
      </c>
      <c r="C10" s="160">
        <v>1.1276999999999999</v>
      </c>
    </row>
    <row r="11" spans="2:6" ht="14.1" customHeight="1">
      <c r="B11" s="185"/>
      <c r="C11" s="185"/>
    </row>
    <row r="12" spans="2:6" ht="15" customHeight="1">
      <c r="B12" s="161" t="s">
        <v>295</v>
      </c>
      <c r="C12" s="162"/>
    </row>
    <row r="13" spans="2:6" ht="15" customHeight="1">
      <c r="B13" s="188" t="s">
        <v>296</v>
      </c>
      <c r="C13" s="189">
        <f>C6*(1+C9)</f>
        <v>103.12875000000001</v>
      </c>
      <c r="D13" s="190"/>
      <c r="F13" s="191"/>
    </row>
    <row r="14" spans="2:6" ht="15" customHeight="1">
      <c r="B14" s="188" t="s">
        <v>297</v>
      </c>
      <c r="C14" s="189">
        <f>C6*(1+C10)</f>
        <v>119.68312499999999</v>
      </c>
      <c r="D14" s="190"/>
      <c r="F14" s="191"/>
    </row>
    <row r="16" spans="2:6" ht="40.5" customHeight="1">
      <c r="B16" s="257" t="s">
        <v>298</v>
      </c>
      <c r="C16" s="257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1390B-07CF-4622-855B-D51B0F2BF3AF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166" customWidth="1"/>
    <col min="2" max="2" width="2.875" style="166" customWidth="1"/>
    <col min="3" max="3" width="11.75" style="166" customWidth="1"/>
    <col min="4" max="4" width="57.75" style="166" customWidth="1"/>
    <col min="5" max="5" width="28.875" style="166" customWidth="1"/>
    <col min="6" max="6" width="9.625" style="166" customWidth="1"/>
    <col min="7" max="7" width="13.25" style="166" customWidth="1"/>
    <col min="8" max="8" width="11.5" style="166" customWidth="1"/>
    <col min="9" max="9" width="13.5" style="166" customWidth="1"/>
    <col min="10" max="1026" width="8.25" style="166" customWidth="1"/>
    <col min="1027" max="16384" width="8.125" style="166"/>
  </cols>
  <sheetData>
    <row r="1" spans="2:11" ht="15" customHeight="1"/>
    <row r="2" spans="2:11" ht="24.75" customHeight="1">
      <c r="B2" s="263" t="s">
        <v>299</v>
      </c>
      <c r="C2" s="263"/>
      <c r="D2" s="263"/>
      <c r="E2" s="263"/>
      <c r="F2" s="263"/>
      <c r="G2" s="263"/>
      <c r="H2" s="263"/>
      <c r="I2" s="263"/>
    </row>
    <row r="3" spans="2:11" ht="20.100000000000001" customHeight="1"/>
    <row r="4" spans="2:11" ht="16.5" customHeight="1">
      <c r="B4" s="264" t="s">
        <v>300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109</v>
      </c>
      <c r="C5" s="258"/>
      <c r="D5" s="259">
        <v>91677</v>
      </c>
      <c r="E5" s="259"/>
      <c r="F5" s="259"/>
      <c r="G5" s="259"/>
      <c r="H5" s="259"/>
      <c r="I5" s="259"/>
    </row>
    <row r="6" spans="2:11" ht="16.5" customHeight="1">
      <c r="B6" s="258" t="s">
        <v>97</v>
      </c>
      <c r="C6" s="258"/>
      <c r="D6" s="259" t="s">
        <v>301</v>
      </c>
      <c r="E6" s="259"/>
      <c r="F6" s="259"/>
      <c r="G6" s="259"/>
      <c r="H6" s="259"/>
      <c r="I6" s="259"/>
    </row>
    <row r="7" spans="2:11" ht="16.5" customHeight="1">
      <c r="B7" s="258" t="s">
        <v>112</v>
      </c>
      <c r="C7" s="258"/>
      <c r="D7" s="262" t="s">
        <v>263</v>
      </c>
      <c r="E7" s="262"/>
      <c r="F7" s="262"/>
      <c r="G7" s="262"/>
      <c r="H7" s="262"/>
      <c r="I7" s="262"/>
    </row>
    <row r="8" spans="2:11" ht="16.5" customHeight="1">
      <c r="B8" s="258" t="s">
        <v>113</v>
      </c>
      <c r="C8" s="258"/>
      <c r="D8" s="259" t="s">
        <v>237</v>
      </c>
      <c r="E8" s="259"/>
      <c r="F8" s="259"/>
      <c r="G8" s="259"/>
      <c r="H8" s="259"/>
      <c r="I8" s="259"/>
    </row>
    <row r="9" spans="2:11" ht="16.5" customHeight="1">
      <c r="B9" s="258" t="s">
        <v>114</v>
      </c>
      <c r="C9" s="258"/>
      <c r="D9" s="259" t="s">
        <v>264</v>
      </c>
      <c r="E9" s="259"/>
      <c r="F9" s="259"/>
      <c r="G9" s="259"/>
      <c r="H9" s="259"/>
      <c r="I9" s="259"/>
    </row>
    <row r="10" spans="2:11" ht="16.5" customHeight="1">
      <c r="B10" s="258" t="s">
        <v>98</v>
      </c>
      <c r="C10" s="258"/>
      <c r="D10" s="259" t="s">
        <v>119</v>
      </c>
      <c r="E10" s="259"/>
      <c r="F10" s="259"/>
      <c r="G10" s="259"/>
      <c r="H10" s="259"/>
      <c r="I10" s="259"/>
    </row>
    <row r="11" spans="2:11" ht="23.25" customHeight="1">
      <c r="B11" s="260" t="s">
        <v>116</v>
      </c>
      <c r="C11" s="260"/>
      <c r="D11" s="261">
        <f>SUM(I14:I19)</f>
        <v>108.89875000000001</v>
      </c>
      <c r="E11" s="261"/>
      <c r="F11" s="261"/>
      <c r="G11" s="261"/>
      <c r="H11" s="261"/>
      <c r="I11" s="261"/>
    </row>
    <row r="12" spans="2:11" ht="15.75" customHeight="1">
      <c r="B12" s="167"/>
      <c r="C12" s="167"/>
      <c r="D12" s="168"/>
      <c r="E12" s="168"/>
      <c r="F12" s="168"/>
      <c r="G12" s="168"/>
      <c r="H12" s="168"/>
      <c r="I12" s="168"/>
    </row>
    <row r="13" spans="2:11" ht="30">
      <c r="B13" s="169"/>
      <c r="C13" s="169" t="s">
        <v>132</v>
      </c>
      <c r="D13" s="169" t="s">
        <v>97</v>
      </c>
      <c r="E13" s="169" t="s">
        <v>114</v>
      </c>
      <c r="F13" s="169" t="s">
        <v>98</v>
      </c>
      <c r="G13" s="169" t="s">
        <v>302</v>
      </c>
      <c r="H13" s="169" t="s">
        <v>117</v>
      </c>
      <c r="I13" s="169" t="s">
        <v>303</v>
      </c>
    </row>
    <row r="14" spans="2:11" ht="20.100000000000001" customHeight="1">
      <c r="B14" s="170" t="s">
        <v>186</v>
      </c>
      <c r="C14" s="170" t="s">
        <v>304</v>
      </c>
      <c r="D14" s="170" t="s">
        <v>305</v>
      </c>
      <c r="E14" s="170" t="s">
        <v>306</v>
      </c>
      <c r="F14" s="170" t="s">
        <v>119</v>
      </c>
      <c r="G14" s="172">
        <v>3.84</v>
      </c>
      <c r="H14" s="172">
        <v>1</v>
      </c>
      <c r="I14" s="173">
        <f t="shared" ref="I14:I19" si="0">G14*H14</f>
        <v>3.84</v>
      </c>
      <c r="J14" s="174"/>
      <c r="K14" s="174"/>
    </row>
    <row r="15" spans="2:11" ht="20.100000000000001" customHeight="1">
      <c r="B15" s="170" t="s">
        <v>186</v>
      </c>
      <c r="C15" s="170" t="s">
        <v>307</v>
      </c>
      <c r="D15" s="170" t="s">
        <v>289</v>
      </c>
      <c r="E15" s="170" t="s">
        <v>269</v>
      </c>
      <c r="F15" s="170" t="s">
        <v>119</v>
      </c>
      <c r="G15" s="172">
        <f>'Custo Eng. Eletricista'!C13</f>
        <v>103.12875000000001</v>
      </c>
      <c r="H15" s="172">
        <v>1</v>
      </c>
      <c r="I15" s="173">
        <f t="shared" si="0"/>
        <v>103.12875000000001</v>
      </c>
      <c r="J15" s="174"/>
      <c r="K15" s="174"/>
    </row>
    <row r="16" spans="2:11" ht="30" customHeight="1">
      <c r="B16" s="170" t="s">
        <v>186</v>
      </c>
      <c r="C16" s="170" t="s">
        <v>308</v>
      </c>
      <c r="D16" s="170" t="s">
        <v>274</v>
      </c>
      <c r="E16" s="170" t="s">
        <v>271</v>
      </c>
      <c r="F16" s="170" t="s">
        <v>119</v>
      </c>
      <c r="G16" s="172" t="s">
        <v>309</v>
      </c>
      <c r="H16" s="172">
        <v>1</v>
      </c>
      <c r="I16" s="173">
        <f t="shared" si="0"/>
        <v>1.1399999999999999</v>
      </c>
      <c r="J16" s="174"/>
      <c r="K16" s="174"/>
    </row>
    <row r="17" spans="2:11" ht="30" customHeight="1">
      <c r="B17" s="170" t="s">
        <v>186</v>
      </c>
      <c r="C17" s="170" t="s">
        <v>310</v>
      </c>
      <c r="D17" s="170" t="s">
        <v>275</v>
      </c>
      <c r="E17" s="170" t="s">
        <v>276</v>
      </c>
      <c r="F17" s="170" t="s">
        <v>119</v>
      </c>
      <c r="G17" s="172" t="s">
        <v>311</v>
      </c>
      <c r="H17" s="172">
        <v>1</v>
      </c>
      <c r="I17" s="173">
        <f t="shared" si="0"/>
        <v>7.0000000000000007E-2</v>
      </c>
      <c r="J17" s="174"/>
      <c r="K17" s="174"/>
    </row>
    <row r="18" spans="2:11" ht="30" customHeight="1">
      <c r="B18" s="170" t="s">
        <v>186</v>
      </c>
      <c r="C18" s="170" t="s">
        <v>312</v>
      </c>
      <c r="D18" s="170" t="s">
        <v>313</v>
      </c>
      <c r="E18" s="170" t="s">
        <v>278</v>
      </c>
      <c r="F18" s="170" t="s">
        <v>119</v>
      </c>
      <c r="G18" s="172" t="s">
        <v>314</v>
      </c>
      <c r="H18" s="172">
        <v>1</v>
      </c>
      <c r="I18" s="173">
        <f t="shared" si="0"/>
        <v>0.01</v>
      </c>
      <c r="J18" s="174"/>
      <c r="K18" s="174"/>
    </row>
    <row r="19" spans="2:11" ht="30" customHeight="1">
      <c r="B19" s="170" t="s">
        <v>186</v>
      </c>
      <c r="C19" s="170" t="s">
        <v>315</v>
      </c>
      <c r="D19" s="170" t="s">
        <v>316</v>
      </c>
      <c r="E19" s="170" t="s">
        <v>278</v>
      </c>
      <c r="F19" s="170" t="s">
        <v>119</v>
      </c>
      <c r="G19" s="172" t="s">
        <v>317</v>
      </c>
      <c r="H19" s="172">
        <v>1</v>
      </c>
      <c r="I19" s="173">
        <f t="shared" si="0"/>
        <v>0.71</v>
      </c>
      <c r="J19" s="174"/>
      <c r="K19" s="174"/>
    </row>
    <row r="20" spans="2:11" ht="20.100000000000001" customHeight="1"/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F0FF5-E183-4FA2-8D35-3B3B23077AF6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2" customWidth="1"/>
    <col min="2" max="2" width="47.25" style="152" customWidth="1"/>
    <col min="3" max="3" width="37.125" style="152" customWidth="1"/>
    <col min="4" max="4" width="29.875" style="152" customWidth="1"/>
    <col min="5" max="5" width="14.25" style="152" customWidth="1"/>
    <col min="6" max="16384" width="10.125" style="152"/>
  </cols>
  <sheetData>
    <row r="1" spans="2:5" ht="15" customHeight="1"/>
    <row r="2" spans="2:5">
      <c r="C2" s="153" t="s">
        <v>237</v>
      </c>
    </row>
    <row r="3" spans="2:5">
      <c r="B3" s="154" t="s">
        <v>238</v>
      </c>
      <c r="C3" s="153" t="s">
        <v>239</v>
      </c>
    </row>
    <row r="4" spans="2:5" ht="15">
      <c r="B4" s="154" t="s">
        <v>240</v>
      </c>
      <c r="C4" s="155" t="s">
        <v>241</v>
      </c>
    </row>
    <row r="5" spans="2:5">
      <c r="B5" s="154" t="s">
        <v>242</v>
      </c>
      <c r="C5" s="155">
        <v>45078</v>
      </c>
    </row>
    <row r="6" spans="2:5" ht="25.5">
      <c r="B6" s="154" t="s">
        <v>243</v>
      </c>
      <c r="C6" s="155" t="s">
        <v>244</v>
      </c>
    </row>
    <row r="7" spans="2:5">
      <c r="B7" s="154" t="s">
        <v>245</v>
      </c>
      <c r="C7" s="156">
        <v>2140.6</v>
      </c>
    </row>
    <row r="8" spans="2:5">
      <c r="B8" s="157"/>
      <c r="C8" s="158"/>
    </row>
    <row r="9" spans="2:5" ht="25.5">
      <c r="B9" s="159" t="s">
        <v>246</v>
      </c>
      <c r="C9" s="154"/>
    </row>
    <row r="10" spans="2:5">
      <c r="B10" s="154" t="s">
        <v>247</v>
      </c>
      <c r="C10" s="160">
        <v>0.83340000000000003</v>
      </c>
    </row>
    <row r="11" spans="2:5">
      <c r="B11" s="154" t="s">
        <v>248</v>
      </c>
      <c r="C11" s="160">
        <v>0.4632</v>
      </c>
    </row>
    <row r="12" spans="2:5">
      <c r="B12" s="154" t="s">
        <v>249</v>
      </c>
      <c r="C12" s="160">
        <v>1.1276999999999999</v>
      </c>
    </row>
    <row r="13" spans="2:5">
      <c r="B13" s="154" t="s">
        <v>250</v>
      </c>
      <c r="C13" s="160">
        <v>0.69879999999999998</v>
      </c>
    </row>
    <row r="14" spans="2:5" ht="14.1" customHeight="1">
      <c r="B14" s="157"/>
      <c r="C14" s="157"/>
    </row>
    <row r="15" spans="2:5">
      <c r="B15" s="161" t="s">
        <v>251</v>
      </c>
      <c r="C15" s="162"/>
    </row>
    <row r="16" spans="2:5" ht="15.75">
      <c r="B16" s="154" t="s">
        <v>252</v>
      </c>
      <c r="C16" s="162">
        <f>C7*(1+C11)</f>
        <v>3132.12592</v>
      </c>
      <c r="D16" s="163"/>
      <c r="E16" s="163"/>
    </row>
    <row r="17" spans="2:5" ht="15.75">
      <c r="B17" s="154" t="s">
        <v>253</v>
      </c>
      <c r="C17" s="162">
        <f>C7*(1+C13)</f>
        <v>3636.4512799999998</v>
      </c>
      <c r="D17" s="163"/>
      <c r="E17" s="163"/>
    </row>
    <row r="18" spans="2:5" ht="15.75">
      <c r="B18" s="154" t="s">
        <v>254</v>
      </c>
      <c r="C18" s="164">
        <f>C16*(1+C10)/(220*(1+C11))</f>
        <v>17.838982000000001</v>
      </c>
      <c r="D18" s="165"/>
      <c r="E18" s="163"/>
    </row>
    <row r="19" spans="2:5" ht="15.75">
      <c r="B19" s="154" t="s">
        <v>255</v>
      </c>
      <c r="C19" s="164">
        <f>(C17*(1+C12)/(220*(1+C13)))</f>
        <v>20.702520999999997</v>
      </c>
      <c r="D19" s="165"/>
      <c r="E19" s="163"/>
    </row>
    <row r="21" spans="2:5">
      <c r="B21" s="152" t="s">
        <v>256</v>
      </c>
    </row>
    <row r="22" spans="2:5" ht="69.95" customHeight="1"/>
    <row r="23" spans="2:5" ht="34.5" customHeight="1">
      <c r="B23" s="257" t="s">
        <v>257</v>
      </c>
      <c r="C23" s="257"/>
    </row>
    <row r="24" spans="2:5" ht="34.35" customHeight="1">
      <c r="B24" s="257" t="s">
        <v>258</v>
      </c>
      <c r="C24" s="257"/>
    </row>
    <row r="25" spans="2:5" ht="30" customHeight="1">
      <c r="B25" s="257" t="s">
        <v>259</v>
      </c>
      <c r="C25" s="257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3001E-7658-4BA0-AFF0-CA351D54B014}">
  <sheetPr>
    <tabColor rgb="FFFFFFFF"/>
  </sheetPr>
  <dimension ref="B1:K22"/>
  <sheetViews>
    <sheetView zoomScale="110" zoomScaleNormal="110" workbookViewId="0">
      <selection activeCell="K13" sqref="K13"/>
    </sheetView>
  </sheetViews>
  <sheetFormatPr defaultColWidth="8.125" defaultRowHeight="12.75"/>
  <cols>
    <col min="1" max="1" width="5.625" style="166" customWidth="1"/>
    <col min="2" max="2" width="2.875" style="166" customWidth="1"/>
    <col min="3" max="3" width="11.75" style="166" customWidth="1"/>
    <col min="4" max="4" width="57.75" style="166" customWidth="1"/>
    <col min="5" max="5" width="28.875" style="166" customWidth="1"/>
    <col min="6" max="6" width="9.625" style="166" customWidth="1"/>
    <col min="7" max="7" width="13.25" style="166" customWidth="1"/>
    <col min="8" max="8" width="11.5" style="166" customWidth="1"/>
    <col min="9" max="9" width="13.5" style="166" customWidth="1"/>
    <col min="10" max="1026" width="8.25" style="166" customWidth="1"/>
    <col min="1027" max="16384" width="8.125" style="166"/>
  </cols>
  <sheetData>
    <row r="1" spans="2:11" ht="15" customHeight="1"/>
    <row r="2" spans="2:11" ht="24.75" customHeight="1">
      <c r="B2" s="263" t="s">
        <v>260</v>
      </c>
      <c r="C2" s="263"/>
      <c r="D2" s="263"/>
      <c r="E2" s="263"/>
      <c r="F2" s="263"/>
      <c r="G2" s="263"/>
      <c r="H2" s="263"/>
      <c r="I2" s="263"/>
    </row>
    <row r="3" spans="2:11" ht="21" customHeight="1"/>
    <row r="4" spans="2:11" ht="16.5" customHeight="1">
      <c r="B4" s="264" t="s">
        <v>261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109</v>
      </c>
      <c r="C5" s="258"/>
      <c r="D5" s="259">
        <v>88264</v>
      </c>
      <c r="E5" s="259"/>
      <c r="F5" s="259"/>
      <c r="G5" s="259"/>
      <c r="H5" s="259"/>
      <c r="I5" s="259"/>
    </row>
    <row r="6" spans="2:11" ht="16.5" customHeight="1">
      <c r="B6" s="258" t="s">
        <v>97</v>
      </c>
      <c r="C6" s="258"/>
      <c r="D6" s="259" t="s">
        <v>262</v>
      </c>
      <c r="E6" s="259"/>
      <c r="F6" s="259"/>
      <c r="G6" s="259"/>
      <c r="H6" s="259"/>
      <c r="I6" s="259"/>
    </row>
    <row r="7" spans="2:11" ht="16.5" customHeight="1">
      <c r="B7" s="258" t="s">
        <v>112</v>
      </c>
      <c r="C7" s="258"/>
      <c r="D7" s="265" t="s">
        <v>263</v>
      </c>
      <c r="E7" s="265"/>
      <c r="F7" s="265"/>
      <c r="G7" s="265"/>
      <c r="H7" s="265"/>
      <c r="I7" s="265"/>
    </row>
    <row r="8" spans="2:11" ht="16.5" customHeight="1">
      <c r="B8" s="258" t="s">
        <v>113</v>
      </c>
      <c r="C8" s="258"/>
      <c r="D8" s="259" t="s">
        <v>237</v>
      </c>
      <c r="E8" s="259"/>
      <c r="F8" s="259"/>
      <c r="G8" s="259"/>
      <c r="H8" s="259"/>
      <c r="I8" s="259"/>
    </row>
    <row r="9" spans="2:11" ht="16.5" customHeight="1">
      <c r="B9" s="258" t="s">
        <v>114</v>
      </c>
      <c r="C9" s="258"/>
      <c r="D9" s="259" t="s">
        <v>264</v>
      </c>
      <c r="E9" s="259"/>
      <c r="F9" s="259"/>
      <c r="G9" s="259"/>
      <c r="H9" s="259"/>
      <c r="I9" s="259"/>
    </row>
    <row r="10" spans="2:11" ht="16.5" customHeight="1">
      <c r="B10" s="258" t="s">
        <v>98</v>
      </c>
      <c r="C10" s="258"/>
      <c r="D10" s="259" t="s">
        <v>119</v>
      </c>
      <c r="E10" s="259"/>
      <c r="F10" s="259"/>
      <c r="G10" s="259"/>
      <c r="H10" s="259"/>
      <c r="I10" s="259"/>
    </row>
    <row r="11" spans="2:11" ht="23.25" customHeight="1">
      <c r="B11" s="260" t="s">
        <v>116</v>
      </c>
      <c r="C11" s="260"/>
      <c r="D11" s="261">
        <f>SUM(I14:I22)</f>
        <v>24.41</v>
      </c>
      <c r="E11" s="261"/>
      <c r="F11" s="261"/>
      <c r="G11" s="261"/>
      <c r="H11" s="261"/>
      <c r="I11" s="261"/>
    </row>
    <row r="12" spans="2:11" ht="15.75" customHeight="1">
      <c r="B12" s="167"/>
      <c r="C12" s="167"/>
      <c r="D12" s="168"/>
      <c r="E12" s="168"/>
      <c r="F12" s="168"/>
      <c r="G12" s="168"/>
      <c r="H12" s="168"/>
      <c r="I12" s="168"/>
    </row>
    <row r="13" spans="2:11" ht="45">
      <c r="B13" s="169"/>
      <c r="C13" s="169" t="s">
        <v>132</v>
      </c>
      <c r="D13" s="169" t="s">
        <v>97</v>
      </c>
      <c r="E13" s="169" t="s">
        <v>114</v>
      </c>
      <c r="F13" s="169" t="s">
        <v>98</v>
      </c>
      <c r="G13" s="169" t="s">
        <v>265</v>
      </c>
      <c r="H13" s="169" t="s">
        <v>117</v>
      </c>
      <c r="I13" s="169" t="s">
        <v>116</v>
      </c>
    </row>
    <row r="14" spans="2:11" ht="27.75" customHeight="1">
      <c r="B14" s="170" t="s">
        <v>118</v>
      </c>
      <c r="C14" s="170">
        <v>95332</v>
      </c>
      <c r="D14" s="170" t="s">
        <v>266</v>
      </c>
      <c r="E14" s="170" t="s">
        <v>264</v>
      </c>
      <c r="F14" s="170" t="s">
        <v>119</v>
      </c>
      <c r="G14" s="171">
        <v>0.74</v>
      </c>
      <c r="H14" s="172">
        <v>1</v>
      </c>
      <c r="I14" s="173">
        <f t="shared" ref="I14:I22" si="0">G14*H14</f>
        <v>0.74</v>
      </c>
      <c r="J14" s="174"/>
      <c r="K14" s="174"/>
    </row>
    <row r="15" spans="2:11" ht="32.85" customHeight="1">
      <c r="B15" s="170" t="s">
        <v>186</v>
      </c>
      <c r="C15" s="170" t="s">
        <v>267</v>
      </c>
      <c r="D15" s="170" t="s">
        <v>268</v>
      </c>
      <c r="E15" s="170" t="s">
        <v>269</v>
      </c>
      <c r="F15" s="170" t="s">
        <v>119</v>
      </c>
      <c r="G15" s="171">
        <v>17.84</v>
      </c>
      <c r="H15" s="172">
        <v>1</v>
      </c>
      <c r="I15" s="173">
        <f t="shared" si="0"/>
        <v>17.84</v>
      </c>
      <c r="J15" s="174"/>
      <c r="K15" s="174"/>
    </row>
    <row r="16" spans="2:11" ht="42" customHeight="1">
      <c r="B16" s="170" t="s">
        <v>186</v>
      </c>
      <c r="C16" s="170">
        <v>37370</v>
      </c>
      <c r="D16" s="170" t="s">
        <v>270</v>
      </c>
      <c r="E16" s="170" t="s">
        <v>271</v>
      </c>
      <c r="F16" s="170" t="s">
        <v>119</v>
      </c>
      <c r="G16" s="171">
        <v>1.27</v>
      </c>
      <c r="H16" s="172">
        <v>1</v>
      </c>
      <c r="I16" s="173">
        <f t="shared" si="0"/>
        <v>1.27</v>
      </c>
      <c r="J16" s="174"/>
      <c r="K16" s="174"/>
    </row>
    <row r="17" spans="2:11" ht="27.75" customHeight="1">
      <c r="B17" s="170" t="s">
        <v>186</v>
      </c>
      <c r="C17" s="170">
        <v>37371</v>
      </c>
      <c r="D17" s="170" t="s">
        <v>272</v>
      </c>
      <c r="E17" s="170" t="s">
        <v>273</v>
      </c>
      <c r="F17" s="170" t="s">
        <v>119</v>
      </c>
      <c r="G17" s="171">
        <v>1.03</v>
      </c>
      <c r="H17" s="172">
        <v>1</v>
      </c>
      <c r="I17" s="173">
        <f t="shared" si="0"/>
        <v>1.03</v>
      </c>
      <c r="J17" s="174"/>
      <c r="K17" s="174"/>
    </row>
    <row r="18" spans="2:11" ht="42" customHeight="1">
      <c r="B18" s="170" t="s">
        <v>186</v>
      </c>
      <c r="C18" s="170">
        <v>37372</v>
      </c>
      <c r="D18" s="170" t="s">
        <v>274</v>
      </c>
      <c r="E18" s="170" t="s">
        <v>271</v>
      </c>
      <c r="F18" s="170" t="s">
        <v>119</v>
      </c>
      <c r="G18" s="171">
        <v>1.1399999999999999</v>
      </c>
      <c r="H18" s="172">
        <v>1</v>
      </c>
      <c r="I18" s="173">
        <f t="shared" si="0"/>
        <v>1.1399999999999999</v>
      </c>
      <c r="J18" s="174"/>
      <c r="K18" s="174"/>
    </row>
    <row r="19" spans="2:11" ht="27.75" customHeight="1">
      <c r="B19" s="170" t="s">
        <v>186</v>
      </c>
      <c r="C19" s="170">
        <v>37373</v>
      </c>
      <c r="D19" s="170" t="s">
        <v>275</v>
      </c>
      <c r="E19" s="170" t="s">
        <v>276</v>
      </c>
      <c r="F19" s="170" t="s">
        <v>119</v>
      </c>
      <c r="G19" s="171">
        <v>7.0000000000000007E-2</v>
      </c>
      <c r="H19" s="172">
        <v>1</v>
      </c>
      <c r="I19" s="173">
        <f t="shared" si="0"/>
        <v>7.0000000000000007E-2</v>
      </c>
      <c r="J19" s="174"/>
      <c r="K19" s="174"/>
    </row>
    <row r="20" spans="2:11" ht="27.75" customHeight="1">
      <c r="B20" s="170" t="s">
        <v>186</v>
      </c>
      <c r="C20" s="170">
        <v>43460</v>
      </c>
      <c r="D20" s="170" t="s">
        <v>277</v>
      </c>
      <c r="E20" s="170" t="s">
        <v>278</v>
      </c>
      <c r="F20" s="170" t="s">
        <v>119</v>
      </c>
      <c r="G20" s="171">
        <v>0.86</v>
      </c>
      <c r="H20" s="172">
        <v>1</v>
      </c>
      <c r="I20" s="173">
        <f t="shared" si="0"/>
        <v>0.86</v>
      </c>
      <c r="J20" s="174"/>
      <c r="K20" s="174"/>
    </row>
    <row r="21" spans="2:11" ht="29.25" customHeight="1">
      <c r="B21" s="175" t="s">
        <v>186</v>
      </c>
      <c r="C21" s="175">
        <v>43461</v>
      </c>
      <c r="D21" s="175" t="s">
        <v>279</v>
      </c>
      <c r="E21" s="175" t="s">
        <v>278</v>
      </c>
      <c r="F21" s="175" t="s">
        <v>119</v>
      </c>
      <c r="G21" s="176">
        <v>0.32</v>
      </c>
      <c r="H21" s="177">
        <v>1</v>
      </c>
      <c r="I21" s="178">
        <f t="shared" si="0"/>
        <v>0.32</v>
      </c>
      <c r="J21" s="174"/>
      <c r="K21" s="174"/>
    </row>
    <row r="22" spans="2:11" ht="27.75" customHeight="1">
      <c r="B22" s="170" t="s">
        <v>186</v>
      </c>
      <c r="C22" s="170">
        <v>43484</v>
      </c>
      <c r="D22" s="170" t="s">
        <v>280</v>
      </c>
      <c r="E22" s="170" t="s">
        <v>278</v>
      </c>
      <c r="F22" s="170" t="s">
        <v>119</v>
      </c>
      <c r="G22" s="171">
        <v>1.1399999999999999</v>
      </c>
      <c r="H22" s="172">
        <v>1</v>
      </c>
      <c r="I22" s="173">
        <f t="shared" si="0"/>
        <v>1.1399999999999999</v>
      </c>
      <c r="J22" s="174"/>
      <c r="K22" s="174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EE1BE7-826B-4621-9ED3-4701CE39B331}">
  <ds:schemaRefs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32d983b-bc52-4905-b3a2-4655d790e7be"/>
    <ds:schemaRef ds:uri="http://schemas.openxmlformats.org/package/2006/metadata/core-properties"/>
    <ds:schemaRef ds:uri="706c7f7c-e32b-4162-b9b5-46b4313c91a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33DD26-28D5-495A-BEF1-3AA186F35C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Passo Fundo</vt:lpstr>
      <vt:lpstr>Desl. Base Passo Fundo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Passo Fundo'!_xlnm_Print_Area</vt:lpstr>
      <vt:lpstr>'Desl. Base Passo Fundo'!_xlnm_Print_Area</vt:lpstr>
      <vt:lpstr>'Equipe Técnica'!_xlnm_Print_Area</vt:lpstr>
      <vt:lpstr>Unidades!_xlnm_Print_Area</vt:lpstr>
      <vt:lpstr>'Base Passo Fundo'!_xlnm_Print_Area_0</vt:lpstr>
      <vt:lpstr>'Desl. Base Passo Fundo'!_xlnm_Print_Area_0</vt:lpstr>
      <vt:lpstr>'Equipe Técnica'!_xlnm_Print_Area_0</vt:lpstr>
      <vt:lpstr>Unidades!_xlnm_Print_Area_0</vt:lpstr>
      <vt:lpstr>'Base Passo Fundo'!Area_de_impressao</vt:lpstr>
      <vt:lpstr>BDI!Area_de_impressao</vt:lpstr>
      <vt:lpstr>'Desl. Base Passo Fundo'!Area_de_impressao</vt:lpstr>
      <vt:lpstr>'Equipe Técnica'!Area_de_impressao</vt:lpstr>
      <vt:lpstr>Unidades!Area_de_impressao</vt:lpstr>
      <vt:lpstr>'Base Passo Fundo'!Excel_BuiltIn_Print_Area</vt:lpstr>
      <vt:lpstr>Unidades!Excel_BuiltIn_Print_Area</vt:lpstr>
      <vt:lpstr>'Base Passo Fundo'!Print_Area_0</vt:lpstr>
      <vt:lpstr>'Desl. Base Passo Fundo'!Print_Area_0</vt:lpstr>
      <vt:lpstr>'Equipe Técnica'!Print_Area_0</vt:lpstr>
      <vt:lpstr>Unidades!Print_Area_0</vt:lpstr>
      <vt:lpstr>'Base Passo Fundo'!Print_Area_0_0</vt:lpstr>
      <vt:lpstr>'Desl. Base Passo Fundo'!Print_Area_0_0</vt:lpstr>
      <vt:lpstr>'Equipe Técnica'!Print_Area_0_0</vt:lpstr>
      <vt:lpstr>Unidades!Print_Area_0_0</vt:lpstr>
      <vt:lpstr>'Base Passo Fundo'!Print_Area_0_0_0</vt:lpstr>
      <vt:lpstr>'Desl. Base Passo Fundo'!Print_Area_0_0_0</vt:lpstr>
      <vt:lpstr>'Base Passo Fundo'!Print_Area_0_0_0_0</vt:lpstr>
      <vt:lpstr>'Desl. Base Passo Fundo'!Print_Area_0_0_0_0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